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rfocl-my.sharepoint.com/personal/alejandrovera_corfo_cl/Documents/Documentos/RRHH CORFO/2025/DIPRES/COMISION MIXTA/01 TRIMESTRE/LICENCIAS MEDICAS/"/>
    </mc:Choice>
  </mc:AlternateContent>
  <xr:revisionPtr revIDLastSave="0" documentId="8_{6965798F-18B9-4C0B-872F-CBB0D03B1C2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" sheetId="1" r:id="rId1"/>
    <sheet name="Tablas_Resumenes" sheetId="9" r:id="rId2"/>
    <sheet name="Datos" sheetId="7" r:id="rId3"/>
    <sheet name="BD_Servicios" sheetId="5" state="hidden" r:id="rId4"/>
    <sheet name="L_Conversion" sheetId="6" r:id="rId5"/>
  </sheets>
  <definedNames>
    <definedName name="_xlnm._FilterDatabase" localSheetId="3" hidden="1">BD_Servicios!$A$1:$D$276</definedName>
    <definedName name="_xlnm._FilterDatabase" localSheetId="0" hidden="1">L!$A$1:$BG$354</definedName>
    <definedName name="_xlnm.Print_Area" localSheetId="2">Datos!$A$199:$O$269</definedName>
    <definedName name="_xlnm.Print_Area" localSheetId="4">L_Conversion!$A$1:$D$153</definedName>
    <definedName name="CAT_LIC_H">Datos!$C$9:$C$24</definedName>
    <definedName name="Codigo">BD_Servicios!$A$2:$D$373</definedName>
    <definedName name="Dias_licencia_tipo_8_H">L_Conversion!$E$3:$E$8</definedName>
    <definedName name="Dias_Licencia_Tipo_8_M">L_Conversion!$D$3:$D$16</definedName>
    <definedName name="Mes_Inicio_Termino">L_Conversion!$C$116:$D$126</definedName>
    <definedName name="Tabla_01_Mes">L_Conversion!$B$143:$B$147</definedName>
    <definedName name="Tabla_04_Estado_Resolucion">L_Conversion!$B$180:$B$185</definedName>
    <definedName name="Tabla_04_Sist.Rem">L_Conversion!$B$4:$B$18</definedName>
    <definedName name="Tabla_06_10_40_60_70_EUS">L_Conversion!$B$24:$B$34</definedName>
    <definedName name="Tabla_06_11_12_15076_19664">L_Conversion!$B$36</definedName>
    <definedName name="Tabla_06_13">L_Conversion!$B$90:$B$92</definedName>
    <definedName name="Tabla_06_14">L_Conversion!$B$94:$B$97</definedName>
    <definedName name="Tabla_06_15">L_Conversion!$B$99:$B$105</definedName>
    <definedName name="Tabla_06_20_Fiscalizadores">L_Conversion!$B$46:$B$53</definedName>
    <definedName name="Tabla_06_30_Poder_Judicial">L_Conversion!$B$55:$B$57</definedName>
    <definedName name="Tabla_06_50_Ministerio_Publico">L_Conversion!$B$59:$B$65</definedName>
    <definedName name="Tabla_06_80_Codigo_del_Trabajo">L_Conversion!$B$67:$B$79</definedName>
    <definedName name="Tabla_06_90_Personal_Fuera_de_Dotacion">L_Conversion!$B$81:$B$88</definedName>
    <definedName name="Tabla_06_DFL29_61_Experimentales">L_Conversion!$B$38:$B$44</definedName>
    <definedName name="Tabla_07_Personal_de_la_Dotacion">L_Conversion!$B$124:$B$128</definedName>
    <definedName name="Tabla_07_Personal_Fuera_de_Dotacion">L_Conversion!$B$130:$B$138</definedName>
    <definedName name="Tabla_18_Tipos_licencias">L_Conversion!$B$161:$B$175</definedName>
    <definedName name="Tabla_27_Matriz_Base">L_Conversion!$B$189:$B$194</definedName>
    <definedName name="Tabla_33_estado_recuperacion">L_Conversion!$B$216:$B$219</definedName>
    <definedName name="Tabla_Personal">L_Conversion!$B$196:$B$209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354" i="1" l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J354" i="1"/>
  <c r="AK354" i="1" s="1"/>
  <c r="AI354" i="1"/>
  <c r="AH354" i="1"/>
  <c r="AF354" i="1"/>
  <c r="AE354" i="1"/>
  <c r="AC354" i="1"/>
  <c r="AD354" i="1" s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J353" i="1"/>
  <c r="AK353" i="1" s="1"/>
  <c r="AI353" i="1"/>
  <c r="AH353" i="1"/>
  <c r="AF353" i="1"/>
  <c r="AE353" i="1"/>
  <c r="AC353" i="1"/>
  <c r="AD353" i="1" s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J352" i="1"/>
  <c r="AK352" i="1" s="1"/>
  <c r="AI352" i="1"/>
  <c r="AH352" i="1"/>
  <c r="AF352" i="1"/>
  <c r="AE352" i="1"/>
  <c r="AC352" i="1"/>
  <c r="AD352" i="1" s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J351" i="1"/>
  <c r="AK351" i="1" s="1"/>
  <c r="AI351" i="1"/>
  <c r="AH351" i="1"/>
  <c r="AF351" i="1"/>
  <c r="AE351" i="1"/>
  <c r="AC351" i="1"/>
  <c r="AD351" i="1" s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F350" i="1"/>
  <c r="AE350" i="1"/>
  <c r="AD350" i="1"/>
  <c r="AC350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J349" i="1"/>
  <c r="AK349" i="1" s="1"/>
  <c r="AI349" i="1"/>
  <c r="AH349" i="1"/>
  <c r="AF349" i="1"/>
  <c r="AE349" i="1"/>
  <c r="AC349" i="1"/>
  <c r="AD349" i="1" s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J348" i="1"/>
  <c r="AK348" i="1" s="1"/>
  <c r="AI348" i="1"/>
  <c r="AH348" i="1"/>
  <c r="AF348" i="1"/>
  <c r="AE348" i="1"/>
  <c r="AC348" i="1"/>
  <c r="AD348" i="1" s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J347" i="1"/>
  <c r="AK347" i="1" s="1"/>
  <c r="AI347" i="1"/>
  <c r="AH347" i="1"/>
  <c r="AF347" i="1"/>
  <c r="AE347" i="1"/>
  <c r="AC347" i="1"/>
  <c r="AD347" i="1" s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J346" i="1"/>
  <c r="AK346" i="1" s="1"/>
  <c r="AI346" i="1"/>
  <c r="AH346" i="1"/>
  <c r="AF346" i="1"/>
  <c r="AE346" i="1"/>
  <c r="AC346" i="1"/>
  <c r="AD346" i="1" s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J345" i="1"/>
  <c r="AK345" i="1" s="1"/>
  <c r="AI345" i="1"/>
  <c r="AH345" i="1"/>
  <c r="AF345" i="1"/>
  <c r="AE345" i="1"/>
  <c r="AC345" i="1"/>
  <c r="AD345" i="1" s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J344" i="1"/>
  <c r="AK344" i="1" s="1"/>
  <c r="AI344" i="1"/>
  <c r="AH344" i="1"/>
  <c r="AF344" i="1"/>
  <c r="AE344" i="1"/>
  <c r="AC344" i="1"/>
  <c r="AD344" i="1" s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J343" i="1"/>
  <c r="AK343" i="1" s="1"/>
  <c r="AI343" i="1"/>
  <c r="AH343" i="1"/>
  <c r="AF343" i="1"/>
  <c r="AE343" i="1"/>
  <c r="AC343" i="1"/>
  <c r="AD343" i="1" s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J342" i="1"/>
  <c r="AK342" i="1" s="1"/>
  <c r="AI342" i="1"/>
  <c r="AH342" i="1"/>
  <c r="AF342" i="1"/>
  <c r="AE342" i="1"/>
  <c r="AC342" i="1"/>
  <c r="AD342" i="1" s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J341" i="1"/>
  <c r="AK341" i="1" s="1"/>
  <c r="AI341" i="1"/>
  <c r="AH341" i="1"/>
  <c r="AF341" i="1"/>
  <c r="AE341" i="1"/>
  <c r="AC341" i="1"/>
  <c r="AD341" i="1" s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J340" i="1"/>
  <c r="AK340" i="1" s="1"/>
  <c r="AI340" i="1"/>
  <c r="AH340" i="1"/>
  <c r="AF340" i="1"/>
  <c r="AE340" i="1"/>
  <c r="AC340" i="1"/>
  <c r="AD340" i="1" s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J339" i="1"/>
  <c r="AK339" i="1" s="1"/>
  <c r="AI339" i="1"/>
  <c r="AH339" i="1"/>
  <c r="AF339" i="1"/>
  <c r="AE339" i="1"/>
  <c r="AC339" i="1"/>
  <c r="AD339" i="1" s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J338" i="1"/>
  <c r="AK338" i="1" s="1"/>
  <c r="AI338" i="1"/>
  <c r="AH338" i="1"/>
  <c r="AF338" i="1"/>
  <c r="AE338" i="1"/>
  <c r="AC338" i="1"/>
  <c r="AD338" i="1" s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J337" i="1"/>
  <c r="AK337" i="1" s="1"/>
  <c r="AI337" i="1"/>
  <c r="AH337" i="1"/>
  <c r="AF337" i="1"/>
  <c r="AE337" i="1"/>
  <c r="AC337" i="1"/>
  <c r="AD337" i="1" s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J336" i="1"/>
  <c r="AK336" i="1" s="1"/>
  <c r="AI336" i="1"/>
  <c r="AH336" i="1"/>
  <c r="AF336" i="1"/>
  <c r="AE336" i="1"/>
  <c r="AC336" i="1"/>
  <c r="AD336" i="1" s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J335" i="1"/>
  <c r="AK335" i="1" s="1"/>
  <c r="AI335" i="1"/>
  <c r="AH335" i="1"/>
  <c r="AF335" i="1"/>
  <c r="AE335" i="1"/>
  <c r="AC335" i="1"/>
  <c r="AD335" i="1" s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J334" i="1"/>
  <c r="AK334" i="1" s="1"/>
  <c r="AI334" i="1"/>
  <c r="AH334" i="1"/>
  <c r="AF334" i="1"/>
  <c r="AE334" i="1"/>
  <c r="AC334" i="1"/>
  <c r="AD334" i="1" s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J333" i="1"/>
  <c r="AK333" i="1" s="1"/>
  <c r="AI333" i="1"/>
  <c r="AH333" i="1"/>
  <c r="AF333" i="1"/>
  <c r="AE333" i="1"/>
  <c r="AC333" i="1"/>
  <c r="AD333" i="1" s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J332" i="1"/>
  <c r="AK332" i="1" s="1"/>
  <c r="AI332" i="1"/>
  <c r="AH332" i="1"/>
  <c r="AF332" i="1"/>
  <c r="AE332" i="1"/>
  <c r="AC332" i="1"/>
  <c r="AD332" i="1" s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J331" i="1"/>
  <c r="AK331" i="1" s="1"/>
  <c r="AI331" i="1"/>
  <c r="AH331" i="1"/>
  <c r="AF331" i="1"/>
  <c r="AE331" i="1"/>
  <c r="AC331" i="1"/>
  <c r="AD331" i="1" s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J330" i="1"/>
  <c r="AK330" i="1" s="1"/>
  <c r="AI330" i="1"/>
  <c r="AH330" i="1"/>
  <c r="AF330" i="1"/>
  <c r="AE330" i="1"/>
  <c r="AC330" i="1"/>
  <c r="AD330" i="1" s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J329" i="1"/>
  <c r="AK329" i="1" s="1"/>
  <c r="AI329" i="1"/>
  <c r="AH329" i="1"/>
  <c r="AF329" i="1"/>
  <c r="AE329" i="1"/>
  <c r="AC329" i="1"/>
  <c r="AD329" i="1" s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J328" i="1"/>
  <c r="AK328" i="1" s="1"/>
  <c r="AI328" i="1"/>
  <c r="AH328" i="1"/>
  <c r="AF328" i="1"/>
  <c r="AE328" i="1"/>
  <c r="AC328" i="1"/>
  <c r="AD328" i="1" s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J327" i="1"/>
  <c r="AK327" i="1" s="1"/>
  <c r="AI327" i="1"/>
  <c r="AH327" i="1"/>
  <c r="AF327" i="1"/>
  <c r="AE327" i="1"/>
  <c r="AC327" i="1"/>
  <c r="AD327" i="1" s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J326" i="1"/>
  <c r="AK326" i="1" s="1"/>
  <c r="AI326" i="1"/>
  <c r="AH326" i="1"/>
  <c r="AF326" i="1"/>
  <c r="AE326" i="1"/>
  <c r="AC326" i="1"/>
  <c r="AD326" i="1" s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J325" i="1"/>
  <c r="AK325" i="1" s="1"/>
  <c r="AI325" i="1"/>
  <c r="AH325" i="1"/>
  <c r="AF325" i="1"/>
  <c r="AE325" i="1"/>
  <c r="AC325" i="1"/>
  <c r="AD325" i="1" s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J324" i="1"/>
  <c r="AK324" i="1" s="1"/>
  <c r="AI324" i="1"/>
  <c r="AH324" i="1"/>
  <c r="AF324" i="1"/>
  <c r="AE324" i="1"/>
  <c r="AC324" i="1"/>
  <c r="AD324" i="1" s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J323" i="1"/>
  <c r="AK323" i="1" s="1"/>
  <c r="AI323" i="1"/>
  <c r="AH323" i="1"/>
  <c r="AF323" i="1"/>
  <c r="AE323" i="1"/>
  <c r="AC323" i="1"/>
  <c r="AD323" i="1" s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J322" i="1"/>
  <c r="AK322" i="1" s="1"/>
  <c r="AI322" i="1"/>
  <c r="AH322" i="1"/>
  <c r="AF322" i="1"/>
  <c r="AE322" i="1"/>
  <c r="AC322" i="1"/>
  <c r="AD322" i="1" s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J321" i="1"/>
  <c r="AK321" i="1" s="1"/>
  <c r="AI321" i="1"/>
  <c r="AH321" i="1"/>
  <c r="AF321" i="1"/>
  <c r="AE321" i="1"/>
  <c r="AC321" i="1"/>
  <c r="AD321" i="1" s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F320" i="1"/>
  <c r="AE320" i="1"/>
  <c r="AD320" i="1"/>
  <c r="AC320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J319" i="1"/>
  <c r="AK319" i="1" s="1"/>
  <c r="AI319" i="1"/>
  <c r="AH319" i="1"/>
  <c r="AF319" i="1"/>
  <c r="AE319" i="1"/>
  <c r="AC319" i="1"/>
  <c r="AD319" i="1" s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J318" i="1"/>
  <c r="AK318" i="1" s="1"/>
  <c r="AI318" i="1"/>
  <c r="AH318" i="1"/>
  <c r="AF318" i="1"/>
  <c r="AE318" i="1"/>
  <c r="AC318" i="1"/>
  <c r="AD318" i="1" s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J317" i="1"/>
  <c r="AK317" i="1" s="1"/>
  <c r="AI317" i="1"/>
  <c r="AH317" i="1"/>
  <c r="AF317" i="1"/>
  <c r="AE317" i="1"/>
  <c r="AC317" i="1"/>
  <c r="AD317" i="1" s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J316" i="1"/>
  <c r="AK316" i="1" s="1"/>
  <c r="AI316" i="1"/>
  <c r="AH316" i="1"/>
  <c r="AF316" i="1"/>
  <c r="AE316" i="1"/>
  <c r="AC316" i="1"/>
  <c r="AD316" i="1" s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J315" i="1"/>
  <c r="AK315" i="1" s="1"/>
  <c r="AI315" i="1"/>
  <c r="AH315" i="1"/>
  <c r="AF315" i="1"/>
  <c r="AE315" i="1"/>
  <c r="AC315" i="1"/>
  <c r="AD315" i="1" s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J314" i="1"/>
  <c r="AK314" i="1" s="1"/>
  <c r="AI314" i="1"/>
  <c r="AH314" i="1"/>
  <c r="AF314" i="1"/>
  <c r="AE314" i="1"/>
  <c r="AC314" i="1"/>
  <c r="AD314" i="1" s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J313" i="1"/>
  <c r="AK313" i="1" s="1"/>
  <c r="AI313" i="1"/>
  <c r="AH313" i="1"/>
  <c r="AF313" i="1"/>
  <c r="AE313" i="1"/>
  <c r="AC313" i="1"/>
  <c r="AD313" i="1" s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J312" i="1"/>
  <c r="AK312" i="1" s="1"/>
  <c r="AI312" i="1"/>
  <c r="AH312" i="1"/>
  <c r="AF312" i="1"/>
  <c r="AE312" i="1"/>
  <c r="AC312" i="1"/>
  <c r="AD312" i="1" s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J311" i="1"/>
  <c r="AK311" i="1" s="1"/>
  <c r="AI311" i="1"/>
  <c r="AH311" i="1"/>
  <c r="AF311" i="1"/>
  <c r="AE311" i="1"/>
  <c r="AC311" i="1"/>
  <c r="AD311" i="1" s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J310" i="1"/>
  <c r="AK310" i="1" s="1"/>
  <c r="AI310" i="1"/>
  <c r="AH310" i="1"/>
  <c r="AF310" i="1"/>
  <c r="AE310" i="1"/>
  <c r="AC310" i="1"/>
  <c r="AD310" i="1" s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J309" i="1"/>
  <c r="AK309" i="1" s="1"/>
  <c r="AI309" i="1"/>
  <c r="AH309" i="1"/>
  <c r="AF309" i="1"/>
  <c r="AE309" i="1"/>
  <c r="AC309" i="1"/>
  <c r="AD309" i="1" s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J308" i="1"/>
  <c r="AK308" i="1" s="1"/>
  <c r="AI308" i="1"/>
  <c r="AH308" i="1"/>
  <c r="AF308" i="1"/>
  <c r="AE308" i="1"/>
  <c r="AC308" i="1"/>
  <c r="AD308" i="1" s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J307" i="1"/>
  <c r="AK307" i="1" s="1"/>
  <c r="AI307" i="1"/>
  <c r="AH307" i="1"/>
  <c r="AF307" i="1"/>
  <c r="AE307" i="1"/>
  <c r="AC307" i="1"/>
  <c r="AD307" i="1" s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J306" i="1"/>
  <c r="AK306" i="1" s="1"/>
  <c r="AI306" i="1"/>
  <c r="AH306" i="1"/>
  <c r="AF306" i="1"/>
  <c r="AE306" i="1"/>
  <c r="AC306" i="1"/>
  <c r="AD306" i="1" s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J305" i="1"/>
  <c r="AK305" i="1" s="1"/>
  <c r="AI305" i="1"/>
  <c r="AH305" i="1"/>
  <c r="AF305" i="1"/>
  <c r="AE305" i="1"/>
  <c r="AC305" i="1"/>
  <c r="AD305" i="1" s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J304" i="1"/>
  <c r="AK304" i="1" s="1"/>
  <c r="AI304" i="1"/>
  <c r="AH304" i="1"/>
  <c r="AF304" i="1"/>
  <c r="AE304" i="1"/>
  <c r="AC304" i="1"/>
  <c r="AD304" i="1" s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J303" i="1"/>
  <c r="AK303" i="1" s="1"/>
  <c r="AI303" i="1"/>
  <c r="AH303" i="1"/>
  <c r="AF303" i="1"/>
  <c r="AE303" i="1"/>
  <c r="AC303" i="1"/>
  <c r="AD303" i="1" s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J302" i="1"/>
  <c r="AK302" i="1" s="1"/>
  <c r="AI302" i="1"/>
  <c r="AH302" i="1"/>
  <c r="AF302" i="1"/>
  <c r="AE302" i="1"/>
  <c r="AC302" i="1"/>
  <c r="AD302" i="1" s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J301" i="1"/>
  <c r="AK301" i="1" s="1"/>
  <c r="AI301" i="1"/>
  <c r="AH301" i="1"/>
  <c r="AF301" i="1"/>
  <c r="AE301" i="1"/>
  <c r="AC301" i="1"/>
  <c r="AD301" i="1" s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J300" i="1"/>
  <c r="AK300" i="1" s="1"/>
  <c r="AI300" i="1"/>
  <c r="AH300" i="1"/>
  <c r="AF300" i="1"/>
  <c r="AE300" i="1"/>
  <c r="AC300" i="1"/>
  <c r="AD300" i="1" s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J299" i="1"/>
  <c r="AK299" i="1" s="1"/>
  <c r="AI299" i="1"/>
  <c r="AH299" i="1"/>
  <c r="AF299" i="1"/>
  <c r="AE299" i="1"/>
  <c r="AC299" i="1"/>
  <c r="AD299" i="1" s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J298" i="1"/>
  <c r="AK298" i="1" s="1"/>
  <c r="AI298" i="1"/>
  <c r="AH298" i="1"/>
  <c r="AF298" i="1"/>
  <c r="AE298" i="1"/>
  <c r="AC298" i="1"/>
  <c r="AD298" i="1" s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J297" i="1"/>
  <c r="AK297" i="1" s="1"/>
  <c r="AI297" i="1"/>
  <c r="AH297" i="1"/>
  <c r="AF297" i="1"/>
  <c r="AE297" i="1"/>
  <c r="AC297" i="1"/>
  <c r="AD297" i="1" s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J296" i="1"/>
  <c r="AK296" i="1" s="1"/>
  <c r="AI296" i="1"/>
  <c r="AH296" i="1"/>
  <c r="AF296" i="1"/>
  <c r="AE296" i="1"/>
  <c r="AC296" i="1"/>
  <c r="AD296" i="1" s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J295" i="1"/>
  <c r="AK295" i="1" s="1"/>
  <c r="AI295" i="1"/>
  <c r="AH295" i="1"/>
  <c r="AF295" i="1"/>
  <c r="AE295" i="1"/>
  <c r="AC295" i="1"/>
  <c r="AD295" i="1" s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J294" i="1"/>
  <c r="AK294" i="1" s="1"/>
  <c r="AI294" i="1"/>
  <c r="AH294" i="1"/>
  <c r="AF294" i="1"/>
  <c r="AE294" i="1"/>
  <c r="AC294" i="1"/>
  <c r="AD294" i="1" s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J293" i="1"/>
  <c r="AK293" i="1" s="1"/>
  <c r="AI293" i="1"/>
  <c r="AH293" i="1"/>
  <c r="AF293" i="1"/>
  <c r="AE293" i="1"/>
  <c r="AC293" i="1"/>
  <c r="AD293" i="1" s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J292" i="1"/>
  <c r="AK292" i="1" s="1"/>
  <c r="AI292" i="1"/>
  <c r="AH292" i="1"/>
  <c r="AF292" i="1"/>
  <c r="AE292" i="1"/>
  <c r="AC292" i="1"/>
  <c r="AD292" i="1" s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J291" i="1"/>
  <c r="AK291" i="1" s="1"/>
  <c r="AI291" i="1"/>
  <c r="AH291" i="1"/>
  <c r="AF291" i="1"/>
  <c r="AE291" i="1"/>
  <c r="AC291" i="1"/>
  <c r="AD291" i="1" s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J290" i="1"/>
  <c r="AK290" i="1" s="1"/>
  <c r="AI290" i="1"/>
  <c r="AH290" i="1"/>
  <c r="AF290" i="1"/>
  <c r="AE290" i="1"/>
  <c r="AC290" i="1"/>
  <c r="AD290" i="1" s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J289" i="1"/>
  <c r="AK289" i="1" s="1"/>
  <c r="AI289" i="1"/>
  <c r="AH289" i="1"/>
  <c r="AF289" i="1"/>
  <c r="AE289" i="1"/>
  <c r="AC289" i="1"/>
  <c r="AD289" i="1" s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J288" i="1"/>
  <c r="AK288" i="1" s="1"/>
  <c r="AI288" i="1"/>
  <c r="AH288" i="1"/>
  <c r="AF288" i="1"/>
  <c r="AE288" i="1"/>
  <c r="AC288" i="1"/>
  <c r="AD288" i="1" s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J287" i="1"/>
  <c r="AK287" i="1" s="1"/>
  <c r="AI287" i="1"/>
  <c r="AH287" i="1"/>
  <c r="AF287" i="1"/>
  <c r="AE287" i="1"/>
  <c r="AC287" i="1"/>
  <c r="AD287" i="1" s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J286" i="1"/>
  <c r="AK286" i="1" s="1"/>
  <c r="AI286" i="1"/>
  <c r="AH286" i="1"/>
  <c r="AF286" i="1"/>
  <c r="AE286" i="1"/>
  <c r="AC286" i="1"/>
  <c r="AD286" i="1" s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J285" i="1"/>
  <c r="AK285" i="1" s="1"/>
  <c r="AI285" i="1"/>
  <c r="AH285" i="1"/>
  <c r="AF285" i="1"/>
  <c r="AE285" i="1"/>
  <c r="AC285" i="1"/>
  <c r="AD285" i="1" s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J284" i="1"/>
  <c r="AK284" i="1" s="1"/>
  <c r="AI284" i="1"/>
  <c r="AH284" i="1"/>
  <c r="AF284" i="1"/>
  <c r="AE284" i="1"/>
  <c r="AC284" i="1"/>
  <c r="AD284" i="1" s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J283" i="1"/>
  <c r="AK283" i="1" s="1"/>
  <c r="AI283" i="1"/>
  <c r="AH283" i="1"/>
  <c r="AF283" i="1"/>
  <c r="AE283" i="1"/>
  <c r="AC283" i="1"/>
  <c r="AD283" i="1" s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J282" i="1"/>
  <c r="AK282" i="1" s="1"/>
  <c r="AI282" i="1"/>
  <c r="AH282" i="1"/>
  <c r="AF282" i="1"/>
  <c r="AE282" i="1"/>
  <c r="AC282" i="1"/>
  <c r="AD282" i="1" s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J281" i="1"/>
  <c r="AK281" i="1" s="1"/>
  <c r="AI281" i="1"/>
  <c r="AH281" i="1"/>
  <c r="AF281" i="1"/>
  <c r="AE281" i="1"/>
  <c r="AC281" i="1"/>
  <c r="AD281" i="1" s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J280" i="1"/>
  <c r="AK280" i="1" s="1"/>
  <c r="AI280" i="1"/>
  <c r="AH280" i="1"/>
  <c r="AF280" i="1"/>
  <c r="AE280" i="1"/>
  <c r="AC280" i="1"/>
  <c r="AD280" i="1" s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J279" i="1"/>
  <c r="AK279" i="1" s="1"/>
  <c r="AI279" i="1"/>
  <c r="AH279" i="1"/>
  <c r="AF279" i="1"/>
  <c r="AE279" i="1"/>
  <c r="AC279" i="1"/>
  <c r="AD279" i="1" s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J278" i="1"/>
  <c r="AK278" i="1" s="1"/>
  <c r="AI278" i="1"/>
  <c r="AH278" i="1"/>
  <c r="AF278" i="1"/>
  <c r="AE278" i="1"/>
  <c r="AC278" i="1"/>
  <c r="AD278" i="1" s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J277" i="1"/>
  <c r="AK277" i="1" s="1"/>
  <c r="AI277" i="1"/>
  <c r="AH277" i="1"/>
  <c r="AF277" i="1"/>
  <c r="AE277" i="1"/>
  <c r="AC277" i="1"/>
  <c r="AD277" i="1" s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J276" i="1"/>
  <c r="AK276" i="1" s="1"/>
  <c r="AI276" i="1"/>
  <c r="AH276" i="1"/>
  <c r="AF276" i="1"/>
  <c r="AE276" i="1"/>
  <c r="AC276" i="1"/>
  <c r="AD276" i="1" s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J275" i="1"/>
  <c r="AK275" i="1" s="1"/>
  <c r="AI275" i="1"/>
  <c r="AH275" i="1"/>
  <c r="AF275" i="1"/>
  <c r="AE275" i="1"/>
  <c r="AC275" i="1"/>
  <c r="AD275" i="1" s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J274" i="1"/>
  <c r="AK274" i="1" s="1"/>
  <c r="AI274" i="1"/>
  <c r="AH274" i="1"/>
  <c r="AF274" i="1"/>
  <c r="AE274" i="1"/>
  <c r="AC274" i="1"/>
  <c r="AD274" i="1" s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J273" i="1"/>
  <c r="AK273" i="1" s="1"/>
  <c r="AI273" i="1"/>
  <c r="AH273" i="1"/>
  <c r="AF273" i="1"/>
  <c r="AE273" i="1"/>
  <c r="AC273" i="1"/>
  <c r="AD273" i="1" s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J272" i="1"/>
  <c r="AK272" i="1" s="1"/>
  <c r="AI272" i="1"/>
  <c r="AH272" i="1"/>
  <c r="AF272" i="1"/>
  <c r="AE272" i="1"/>
  <c r="AC272" i="1"/>
  <c r="AD272" i="1" s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J271" i="1"/>
  <c r="AK271" i="1" s="1"/>
  <c r="AI271" i="1"/>
  <c r="AH271" i="1"/>
  <c r="AF271" i="1"/>
  <c r="AE271" i="1"/>
  <c r="AC271" i="1"/>
  <c r="AD271" i="1" s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J270" i="1"/>
  <c r="AK270" i="1" s="1"/>
  <c r="AI270" i="1"/>
  <c r="AH270" i="1"/>
  <c r="AF270" i="1"/>
  <c r="AE270" i="1"/>
  <c r="AC270" i="1"/>
  <c r="AD270" i="1" s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J269" i="1"/>
  <c r="AK269" i="1" s="1"/>
  <c r="AI269" i="1"/>
  <c r="AH269" i="1"/>
  <c r="AF269" i="1"/>
  <c r="AE269" i="1"/>
  <c r="AC269" i="1"/>
  <c r="AD269" i="1" s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J268" i="1"/>
  <c r="AK268" i="1" s="1"/>
  <c r="AI268" i="1"/>
  <c r="AH268" i="1"/>
  <c r="AF268" i="1"/>
  <c r="AE268" i="1"/>
  <c r="AC268" i="1"/>
  <c r="AD268" i="1" s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J267" i="1"/>
  <c r="AK267" i="1" s="1"/>
  <c r="AI267" i="1"/>
  <c r="AH267" i="1"/>
  <c r="AF267" i="1"/>
  <c r="AE267" i="1"/>
  <c r="AC267" i="1"/>
  <c r="AD267" i="1" s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J266" i="1"/>
  <c r="AK266" i="1" s="1"/>
  <c r="AI266" i="1"/>
  <c r="AH266" i="1"/>
  <c r="AF266" i="1"/>
  <c r="AE266" i="1"/>
  <c r="AC266" i="1"/>
  <c r="AD266" i="1" s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J265" i="1"/>
  <c r="AK265" i="1" s="1"/>
  <c r="AI265" i="1"/>
  <c r="AH265" i="1"/>
  <c r="AF265" i="1"/>
  <c r="AE265" i="1"/>
  <c r="AC265" i="1"/>
  <c r="AD265" i="1" s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J264" i="1"/>
  <c r="AK264" i="1" s="1"/>
  <c r="AI264" i="1"/>
  <c r="AH264" i="1"/>
  <c r="AF264" i="1"/>
  <c r="AE264" i="1"/>
  <c r="AC264" i="1"/>
  <c r="AD264" i="1" s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J263" i="1"/>
  <c r="AK263" i="1" s="1"/>
  <c r="AI263" i="1"/>
  <c r="AH263" i="1"/>
  <c r="AF263" i="1"/>
  <c r="AE263" i="1"/>
  <c r="AC263" i="1"/>
  <c r="AD263" i="1" s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J262" i="1"/>
  <c r="AK262" i="1" s="1"/>
  <c r="AI262" i="1"/>
  <c r="AH262" i="1"/>
  <c r="AF262" i="1"/>
  <c r="AE262" i="1"/>
  <c r="AC262" i="1"/>
  <c r="AD262" i="1" s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J261" i="1"/>
  <c r="AK261" i="1" s="1"/>
  <c r="AI261" i="1"/>
  <c r="AH261" i="1"/>
  <c r="AF261" i="1"/>
  <c r="AE261" i="1"/>
  <c r="AC261" i="1"/>
  <c r="AD261" i="1" s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J260" i="1"/>
  <c r="AK260" i="1" s="1"/>
  <c r="AI260" i="1"/>
  <c r="AH260" i="1"/>
  <c r="AF260" i="1"/>
  <c r="AE260" i="1"/>
  <c r="AC260" i="1"/>
  <c r="AD260" i="1" s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J259" i="1"/>
  <c r="AK259" i="1" s="1"/>
  <c r="AI259" i="1"/>
  <c r="AH259" i="1"/>
  <c r="AF259" i="1"/>
  <c r="AE259" i="1"/>
  <c r="AC259" i="1"/>
  <c r="AD259" i="1" s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J258" i="1"/>
  <c r="AK258" i="1" s="1"/>
  <c r="AI258" i="1"/>
  <c r="AH258" i="1"/>
  <c r="AF258" i="1"/>
  <c r="AE258" i="1"/>
  <c r="AC258" i="1"/>
  <c r="AD258" i="1" s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J257" i="1"/>
  <c r="AK257" i="1" s="1"/>
  <c r="AI257" i="1"/>
  <c r="AH257" i="1"/>
  <c r="AF257" i="1"/>
  <c r="AE257" i="1"/>
  <c r="AC257" i="1"/>
  <c r="AD257" i="1" s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J256" i="1"/>
  <c r="AK256" i="1" s="1"/>
  <c r="AI256" i="1"/>
  <c r="AH256" i="1"/>
  <c r="AF256" i="1"/>
  <c r="AE256" i="1"/>
  <c r="AC256" i="1"/>
  <c r="AD256" i="1" s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J255" i="1"/>
  <c r="AK255" i="1" s="1"/>
  <c r="AI255" i="1"/>
  <c r="AH255" i="1"/>
  <c r="AF255" i="1"/>
  <c r="AE255" i="1"/>
  <c r="AC255" i="1"/>
  <c r="AD255" i="1" s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J254" i="1"/>
  <c r="AK254" i="1" s="1"/>
  <c r="AI254" i="1"/>
  <c r="AH254" i="1"/>
  <c r="AF254" i="1"/>
  <c r="AE254" i="1"/>
  <c r="AC254" i="1"/>
  <c r="AD254" i="1" s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J253" i="1"/>
  <c r="AK253" i="1" s="1"/>
  <c r="AI253" i="1"/>
  <c r="AH253" i="1"/>
  <c r="AF253" i="1"/>
  <c r="AE253" i="1"/>
  <c r="AC253" i="1"/>
  <c r="AD253" i="1" s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J252" i="1"/>
  <c r="AK252" i="1" s="1"/>
  <c r="AI252" i="1"/>
  <c r="AH252" i="1"/>
  <c r="AF252" i="1"/>
  <c r="AE252" i="1"/>
  <c r="AC252" i="1"/>
  <c r="AD252" i="1" s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J251" i="1"/>
  <c r="AK251" i="1" s="1"/>
  <c r="AI251" i="1"/>
  <c r="AH251" i="1"/>
  <c r="AF251" i="1"/>
  <c r="AE251" i="1"/>
  <c r="AC251" i="1"/>
  <c r="AD251" i="1" s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J250" i="1"/>
  <c r="AK250" i="1" s="1"/>
  <c r="AI250" i="1"/>
  <c r="AH250" i="1"/>
  <c r="AF250" i="1"/>
  <c r="AE250" i="1"/>
  <c r="AC250" i="1"/>
  <c r="AD250" i="1" s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J249" i="1"/>
  <c r="AK249" i="1" s="1"/>
  <c r="AI249" i="1"/>
  <c r="AH249" i="1"/>
  <c r="AF249" i="1"/>
  <c r="AE249" i="1"/>
  <c r="AC249" i="1"/>
  <c r="AD249" i="1" s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J248" i="1"/>
  <c r="AK248" i="1" s="1"/>
  <c r="AI248" i="1"/>
  <c r="AH248" i="1"/>
  <c r="AF248" i="1"/>
  <c r="AE248" i="1"/>
  <c r="AC248" i="1"/>
  <c r="AD248" i="1" s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J247" i="1"/>
  <c r="AK247" i="1" s="1"/>
  <c r="AI247" i="1"/>
  <c r="AH247" i="1"/>
  <c r="AF247" i="1"/>
  <c r="AE247" i="1"/>
  <c r="AC247" i="1"/>
  <c r="AD247" i="1" s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J246" i="1"/>
  <c r="AK246" i="1" s="1"/>
  <c r="AI246" i="1"/>
  <c r="AH246" i="1"/>
  <c r="AF246" i="1"/>
  <c r="AE246" i="1"/>
  <c r="AC246" i="1"/>
  <c r="AD246" i="1" s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J245" i="1"/>
  <c r="AK245" i="1" s="1"/>
  <c r="AI245" i="1"/>
  <c r="AH245" i="1"/>
  <c r="AF245" i="1"/>
  <c r="AE245" i="1"/>
  <c r="AC245" i="1"/>
  <c r="AD245" i="1" s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J244" i="1"/>
  <c r="AK244" i="1" s="1"/>
  <c r="AI244" i="1"/>
  <c r="AH244" i="1"/>
  <c r="AF244" i="1"/>
  <c r="AE244" i="1"/>
  <c r="AC244" i="1"/>
  <c r="AD244" i="1" s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J243" i="1"/>
  <c r="AK243" i="1" s="1"/>
  <c r="AI243" i="1"/>
  <c r="AH243" i="1"/>
  <c r="AF243" i="1"/>
  <c r="AE243" i="1"/>
  <c r="AC243" i="1"/>
  <c r="AD243" i="1" s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J242" i="1"/>
  <c r="AK242" i="1" s="1"/>
  <c r="AI242" i="1"/>
  <c r="AH242" i="1"/>
  <c r="AF242" i="1"/>
  <c r="AE242" i="1"/>
  <c r="AC242" i="1"/>
  <c r="AD242" i="1" s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J241" i="1"/>
  <c r="AK241" i="1" s="1"/>
  <c r="AI241" i="1"/>
  <c r="AH241" i="1"/>
  <c r="AF241" i="1"/>
  <c r="AE241" i="1"/>
  <c r="AC241" i="1"/>
  <c r="AD241" i="1" s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J240" i="1"/>
  <c r="AK240" i="1" s="1"/>
  <c r="AI240" i="1"/>
  <c r="AH240" i="1"/>
  <c r="AF240" i="1"/>
  <c r="AE240" i="1"/>
  <c r="AC240" i="1"/>
  <c r="AD240" i="1" s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J239" i="1"/>
  <c r="AK239" i="1" s="1"/>
  <c r="AI239" i="1"/>
  <c r="AH239" i="1"/>
  <c r="AF239" i="1"/>
  <c r="AE239" i="1"/>
  <c r="AC239" i="1"/>
  <c r="AD239" i="1" s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J238" i="1"/>
  <c r="AK238" i="1" s="1"/>
  <c r="AI238" i="1"/>
  <c r="AH238" i="1"/>
  <c r="AF238" i="1"/>
  <c r="AE238" i="1"/>
  <c r="AC238" i="1"/>
  <c r="AD238" i="1" s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J237" i="1"/>
  <c r="AK237" i="1" s="1"/>
  <c r="AI237" i="1"/>
  <c r="AH237" i="1"/>
  <c r="AF237" i="1"/>
  <c r="AE237" i="1"/>
  <c r="AC237" i="1"/>
  <c r="AD237" i="1" s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J236" i="1"/>
  <c r="AK236" i="1" s="1"/>
  <c r="AI236" i="1"/>
  <c r="AH236" i="1"/>
  <c r="AF236" i="1"/>
  <c r="AE236" i="1"/>
  <c r="AC236" i="1"/>
  <c r="AD236" i="1" s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J235" i="1"/>
  <c r="AK235" i="1" s="1"/>
  <c r="AI235" i="1"/>
  <c r="AH235" i="1"/>
  <c r="AF235" i="1"/>
  <c r="AE235" i="1"/>
  <c r="AC235" i="1"/>
  <c r="AD235" i="1" s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J234" i="1"/>
  <c r="AK234" i="1" s="1"/>
  <c r="AI234" i="1"/>
  <c r="AH234" i="1"/>
  <c r="AF234" i="1"/>
  <c r="AE234" i="1"/>
  <c r="AC234" i="1"/>
  <c r="AD234" i="1" s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J233" i="1"/>
  <c r="AK233" i="1" s="1"/>
  <c r="AI233" i="1"/>
  <c r="AH233" i="1"/>
  <c r="AF233" i="1"/>
  <c r="AE233" i="1"/>
  <c r="AC233" i="1"/>
  <c r="AD233" i="1" s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J232" i="1"/>
  <c r="AK232" i="1" s="1"/>
  <c r="AI232" i="1"/>
  <c r="AH232" i="1"/>
  <c r="AF232" i="1"/>
  <c r="AE232" i="1"/>
  <c r="AC232" i="1"/>
  <c r="AD232" i="1" s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J231" i="1"/>
  <c r="AK231" i="1" s="1"/>
  <c r="AI231" i="1"/>
  <c r="AH231" i="1"/>
  <c r="AF231" i="1"/>
  <c r="AE231" i="1"/>
  <c r="AC231" i="1"/>
  <c r="AD231" i="1" s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J230" i="1"/>
  <c r="AK230" i="1" s="1"/>
  <c r="AI230" i="1"/>
  <c r="AH230" i="1"/>
  <c r="AF230" i="1"/>
  <c r="AE230" i="1"/>
  <c r="AC230" i="1"/>
  <c r="AD230" i="1" s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J229" i="1"/>
  <c r="AK229" i="1" s="1"/>
  <c r="AI229" i="1"/>
  <c r="AH229" i="1"/>
  <c r="AF229" i="1"/>
  <c r="AE229" i="1"/>
  <c r="AC229" i="1"/>
  <c r="AD229" i="1" s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J228" i="1"/>
  <c r="AK228" i="1" s="1"/>
  <c r="AI228" i="1"/>
  <c r="AH228" i="1"/>
  <c r="AF228" i="1"/>
  <c r="AE228" i="1"/>
  <c r="AC228" i="1"/>
  <c r="AD228" i="1" s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J227" i="1"/>
  <c r="AK227" i="1" s="1"/>
  <c r="AI227" i="1"/>
  <c r="AH227" i="1"/>
  <c r="AF227" i="1"/>
  <c r="AE227" i="1"/>
  <c r="AC227" i="1"/>
  <c r="AD227" i="1" s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J226" i="1"/>
  <c r="AK226" i="1" s="1"/>
  <c r="AI226" i="1"/>
  <c r="AH226" i="1"/>
  <c r="AF226" i="1"/>
  <c r="AE226" i="1"/>
  <c r="AC226" i="1"/>
  <c r="AD226" i="1" s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J225" i="1"/>
  <c r="AK225" i="1" s="1"/>
  <c r="AI225" i="1"/>
  <c r="AH225" i="1"/>
  <c r="AF225" i="1"/>
  <c r="AE225" i="1"/>
  <c r="AC225" i="1"/>
  <c r="AD225" i="1" s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J224" i="1"/>
  <c r="AK224" i="1" s="1"/>
  <c r="AI224" i="1"/>
  <c r="AH224" i="1"/>
  <c r="AF224" i="1"/>
  <c r="AE224" i="1"/>
  <c r="AC224" i="1"/>
  <c r="AD224" i="1" s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J223" i="1"/>
  <c r="AK223" i="1" s="1"/>
  <c r="AI223" i="1"/>
  <c r="AH223" i="1"/>
  <c r="AF223" i="1"/>
  <c r="AE223" i="1"/>
  <c r="AC223" i="1"/>
  <c r="AD223" i="1" s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J222" i="1"/>
  <c r="AK222" i="1" s="1"/>
  <c r="AI222" i="1"/>
  <c r="AH222" i="1"/>
  <c r="AF222" i="1"/>
  <c r="AE222" i="1"/>
  <c r="AC222" i="1"/>
  <c r="AD222" i="1" s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J221" i="1"/>
  <c r="AK221" i="1" s="1"/>
  <c r="AI221" i="1"/>
  <c r="AH221" i="1"/>
  <c r="AF221" i="1"/>
  <c r="AE221" i="1"/>
  <c r="AC221" i="1"/>
  <c r="AD221" i="1" s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J220" i="1"/>
  <c r="AK220" i="1" s="1"/>
  <c r="AI220" i="1"/>
  <c r="AH220" i="1"/>
  <c r="AF220" i="1"/>
  <c r="AE220" i="1"/>
  <c r="AC220" i="1"/>
  <c r="AD220" i="1" s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J219" i="1"/>
  <c r="AK219" i="1" s="1"/>
  <c r="AI219" i="1"/>
  <c r="AH219" i="1"/>
  <c r="AF219" i="1"/>
  <c r="AE219" i="1"/>
  <c r="AC219" i="1"/>
  <c r="AD219" i="1" s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J218" i="1"/>
  <c r="AK218" i="1" s="1"/>
  <c r="AI218" i="1"/>
  <c r="AH218" i="1"/>
  <c r="AF218" i="1"/>
  <c r="AE218" i="1"/>
  <c r="AC218" i="1"/>
  <c r="AD218" i="1" s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J217" i="1"/>
  <c r="AK217" i="1" s="1"/>
  <c r="AI217" i="1"/>
  <c r="AH217" i="1"/>
  <c r="AF217" i="1"/>
  <c r="AE217" i="1"/>
  <c r="AC217" i="1"/>
  <c r="AD217" i="1" s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J216" i="1"/>
  <c r="AK216" i="1" s="1"/>
  <c r="AI216" i="1"/>
  <c r="AH216" i="1"/>
  <c r="AF216" i="1"/>
  <c r="AE216" i="1"/>
  <c r="AC216" i="1"/>
  <c r="AD216" i="1" s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J215" i="1"/>
  <c r="AK215" i="1" s="1"/>
  <c r="AI215" i="1"/>
  <c r="AH215" i="1"/>
  <c r="AF215" i="1"/>
  <c r="AE215" i="1"/>
  <c r="AC215" i="1"/>
  <c r="AD215" i="1" s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J214" i="1"/>
  <c r="AK214" i="1" s="1"/>
  <c r="AI214" i="1"/>
  <c r="AH214" i="1"/>
  <c r="AF214" i="1"/>
  <c r="AE214" i="1"/>
  <c r="AC214" i="1"/>
  <c r="AD214" i="1" s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J213" i="1"/>
  <c r="AK213" i="1" s="1"/>
  <c r="AI213" i="1"/>
  <c r="AH213" i="1"/>
  <c r="AF213" i="1"/>
  <c r="AE213" i="1"/>
  <c r="AC213" i="1"/>
  <c r="AD213" i="1" s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J212" i="1"/>
  <c r="AK212" i="1" s="1"/>
  <c r="AI212" i="1"/>
  <c r="AH212" i="1"/>
  <c r="AF212" i="1"/>
  <c r="AE212" i="1"/>
  <c r="AC212" i="1"/>
  <c r="AD212" i="1" s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J211" i="1"/>
  <c r="AK211" i="1" s="1"/>
  <c r="AI211" i="1"/>
  <c r="AH211" i="1"/>
  <c r="AF211" i="1"/>
  <c r="AE211" i="1"/>
  <c r="AC211" i="1"/>
  <c r="AD211" i="1" s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J210" i="1"/>
  <c r="AK210" i="1" s="1"/>
  <c r="AI210" i="1"/>
  <c r="AH210" i="1"/>
  <c r="AF210" i="1"/>
  <c r="AE210" i="1"/>
  <c r="AC210" i="1"/>
  <c r="AD210" i="1" s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J209" i="1"/>
  <c r="AK209" i="1" s="1"/>
  <c r="AI209" i="1"/>
  <c r="AH209" i="1"/>
  <c r="AF209" i="1"/>
  <c r="AE209" i="1"/>
  <c r="AC209" i="1"/>
  <c r="AD209" i="1" s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J208" i="1"/>
  <c r="AK208" i="1" s="1"/>
  <c r="AI208" i="1"/>
  <c r="AH208" i="1"/>
  <c r="AF208" i="1"/>
  <c r="AE208" i="1"/>
  <c r="AC208" i="1"/>
  <c r="AD208" i="1" s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J207" i="1"/>
  <c r="AK207" i="1" s="1"/>
  <c r="AI207" i="1"/>
  <c r="AH207" i="1"/>
  <c r="AF207" i="1"/>
  <c r="AE207" i="1"/>
  <c r="AC207" i="1"/>
  <c r="AD207" i="1" s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J206" i="1"/>
  <c r="AK206" i="1" s="1"/>
  <c r="AI206" i="1"/>
  <c r="AH206" i="1"/>
  <c r="AF206" i="1"/>
  <c r="AE206" i="1"/>
  <c r="AC206" i="1"/>
  <c r="AD206" i="1" s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J205" i="1"/>
  <c r="AK205" i="1" s="1"/>
  <c r="AI205" i="1"/>
  <c r="AH205" i="1"/>
  <c r="AF205" i="1"/>
  <c r="AE205" i="1"/>
  <c r="AC205" i="1"/>
  <c r="AD205" i="1" s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J204" i="1"/>
  <c r="AK204" i="1" s="1"/>
  <c r="AI204" i="1"/>
  <c r="AH204" i="1"/>
  <c r="AF204" i="1"/>
  <c r="AE204" i="1"/>
  <c r="AC204" i="1"/>
  <c r="AD204" i="1" s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J203" i="1"/>
  <c r="AK203" i="1" s="1"/>
  <c r="AI203" i="1"/>
  <c r="AH203" i="1"/>
  <c r="AF203" i="1"/>
  <c r="AE203" i="1"/>
  <c r="AC203" i="1"/>
  <c r="AD203" i="1" s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J202" i="1"/>
  <c r="AK202" i="1" s="1"/>
  <c r="AI202" i="1"/>
  <c r="AH202" i="1"/>
  <c r="AF202" i="1"/>
  <c r="AE202" i="1"/>
  <c r="AC202" i="1"/>
  <c r="AD202" i="1" s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J201" i="1"/>
  <c r="AK201" i="1" s="1"/>
  <c r="AI201" i="1"/>
  <c r="AH201" i="1"/>
  <c r="AF201" i="1"/>
  <c r="AE201" i="1"/>
  <c r="AC201" i="1"/>
  <c r="AD201" i="1" s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J200" i="1"/>
  <c r="AK200" i="1" s="1"/>
  <c r="AI200" i="1"/>
  <c r="AH200" i="1"/>
  <c r="AF200" i="1"/>
  <c r="AE200" i="1"/>
  <c r="AC200" i="1"/>
  <c r="AD200" i="1" s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J199" i="1"/>
  <c r="AK199" i="1" s="1"/>
  <c r="AI199" i="1"/>
  <c r="AH199" i="1"/>
  <c r="AF199" i="1"/>
  <c r="AE199" i="1"/>
  <c r="AC199" i="1"/>
  <c r="AD199" i="1" s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J198" i="1"/>
  <c r="AK198" i="1" s="1"/>
  <c r="AI198" i="1"/>
  <c r="AH198" i="1"/>
  <c r="AF198" i="1"/>
  <c r="AE198" i="1"/>
  <c r="AC198" i="1"/>
  <c r="AD198" i="1" s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J197" i="1"/>
  <c r="AK197" i="1" s="1"/>
  <c r="AI197" i="1"/>
  <c r="AH197" i="1"/>
  <c r="AF197" i="1"/>
  <c r="AE197" i="1"/>
  <c r="AC197" i="1"/>
  <c r="AD197" i="1" s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J196" i="1"/>
  <c r="AK196" i="1" s="1"/>
  <c r="AI196" i="1"/>
  <c r="AH196" i="1"/>
  <c r="AF196" i="1"/>
  <c r="AE196" i="1"/>
  <c r="AC196" i="1"/>
  <c r="AD196" i="1" s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J195" i="1"/>
  <c r="AK195" i="1" s="1"/>
  <c r="AI195" i="1"/>
  <c r="AH195" i="1"/>
  <c r="AF195" i="1"/>
  <c r="AE195" i="1"/>
  <c r="AC195" i="1"/>
  <c r="AD195" i="1" s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J194" i="1"/>
  <c r="AK194" i="1" s="1"/>
  <c r="AI194" i="1"/>
  <c r="AH194" i="1"/>
  <c r="AF194" i="1"/>
  <c r="AE194" i="1"/>
  <c r="AC194" i="1"/>
  <c r="AD194" i="1" s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J193" i="1"/>
  <c r="AK193" i="1" s="1"/>
  <c r="AI193" i="1"/>
  <c r="AH193" i="1"/>
  <c r="AF193" i="1"/>
  <c r="AE193" i="1"/>
  <c r="AC193" i="1"/>
  <c r="AD193" i="1" s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J192" i="1"/>
  <c r="AK192" i="1" s="1"/>
  <c r="AI192" i="1"/>
  <c r="AH192" i="1"/>
  <c r="AF192" i="1"/>
  <c r="AE192" i="1"/>
  <c r="AC192" i="1"/>
  <c r="AD192" i="1" s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J191" i="1"/>
  <c r="AK191" i="1" s="1"/>
  <c r="AI191" i="1"/>
  <c r="AH191" i="1"/>
  <c r="AF191" i="1"/>
  <c r="AE191" i="1"/>
  <c r="AC191" i="1"/>
  <c r="AD191" i="1" s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J190" i="1"/>
  <c r="AK190" i="1" s="1"/>
  <c r="AI190" i="1"/>
  <c r="AH190" i="1"/>
  <c r="AF190" i="1"/>
  <c r="AE190" i="1"/>
  <c r="AC190" i="1"/>
  <c r="AD190" i="1" s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J189" i="1"/>
  <c r="AK189" i="1" s="1"/>
  <c r="AI189" i="1"/>
  <c r="AH189" i="1"/>
  <c r="AF189" i="1"/>
  <c r="AE189" i="1"/>
  <c r="AC189" i="1"/>
  <c r="AD189" i="1" s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J188" i="1"/>
  <c r="AK188" i="1" s="1"/>
  <c r="AI188" i="1"/>
  <c r="AH188" i="1"/>
  <c r="AF188" i="1"/>
  <c r="AE188" i="1"/>
  <c r="AC188" i="1"/>
  <c r="AD188" i="1" s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J187" i="1"/>
  <c r="AK187" i="1" s="1"/>
  <c r="AI187" i="1"/>
  <c r="AH187" i="1"/>
  <c r="AF187" i="1"/>
  <c r="AE187" i="1"/>
  <c r="AC187" i="1"/>
  <c r="AD187" i="1" s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J186" i="1"/>
  <c r="AK186" i="1" s="1"/>
  <c r="AI186" i="1"/>
  <c r="AH186" i="1"/>
  <c r="AF186" i="1"/>
  <c r="AE186" i="1"/>
  <c r="AC186" i="1"/>
  <c r="AD186" i="1" s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J185" i="1"/>
  <c r="AK185" i="1" s="1"/>
  <c r="AI185" i="1"/>
  <c r="AH185" i="1"/>
  <c r="AF185" i="1"/>
  <c r="AE185" i="1"/>
  <c r="AC185" i="1"/>
  <c r="AD185" i="1" s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J184" i="1"/>
  <c r="AK184" i="1" s="1"/>
  <c r="AI184" i="1"/>
  <c r="AH184" i="1"/>
  <c r="AF184" i="1"/>
  <c r="AE184" i="1"/>
  <c r="AC184" i="1"/>
  <c r="AD184" i="1" s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J183" i="1"/>
  <c r="AK183" i="1" s="1"/>
  <c r="AI183" i="1"/>
  <c r="AH183" i="1"/>
  <c r="AF183" i="1"/>
  <c r="AE183" i="1"/>
  <c r="AC183" i="1"/>
  <c r="AD183" i="1" s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J182" i="1"/>
  <c r="AK182" i="1" s="1"/>
  <c r="AI182" i="1"/>
  <c r="AH182" i="1"/>
  <c r="AF182" i="1"/>
  <c r="AE182" i="1"/>
  <c r="AC182" i="1"/>
  <c r="AD182" i="1" s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J181" i="1"/>
  <c r="AK181" i="1" s="1"/>
  <c r="AI181" i="1"/>
  <c r="AH181" i="1"/>
  <c r="AF181" i="1"/>
  <c r="AE181" i="1"/>
  <c r="AC181" i="1"/>
  <c r="AD181" i="1" s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J180" i="1"/>
  <c r="AK180" i="1" s="1"/>
  <c r="AI180" i="1"/>
  <c r="AH180" i="1"/>
  <c r="AF180" i="1"/>
  <c r="AE180" i="1"/>
  <c r="AC180" i="1"/>
  <c r="AD180" i="1" s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J179" i="1"/>
  <c r="AK179" i="1" s="1"/>
  <c r="AI179" i="1"/>
  <c r="AH179" i="1"/>
  <c r="AF179" i="1"/>
  <c r="AE179" i="1"/>
  <c r="AC179" i="1"/>
  <c r="AD179" i="1" s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J178" i="1"/>
  <c r="AK178" i="1" s="1"/>
  <c r="AI178" i="1"/>
  <c r="AH178" i="1"/>
  <c r="AF178" i="1"/>
  <c r="AE178" i="1"/>
  <c r="AC178" i="1"/>
  <c r="AD178" i="1" s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J177" i="1"/>
  <c r="AK177" i="1" s="1"/>
  <c r="AI177" i="1"/>
  <c r="AH177" i="1"/>
  <c r="AF177" i="1"/>
  <c r="AE177" i="1"/>
  <c r="AC177" i="1"/>
  <c r="AD177" i="1" s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J176" i="1"/>
  <c r="AK176" i="1" s="1"/>
  <c r="AI176" i="1"/>
  <c r="AH176" i="1"/>
  <c r="AF176" i="1"/>
  <c r="AE176" i="1"/>
  <c r="AC176" i="1"/>
  <c r="AD176" i="1" s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J175" i="1"/>
  <c r="AK175" i="1" s="1"/>
  <c r="AI175" i="1"/>
  <c r="AH175" i="1"/>
  <c r="AF175" i="1"/>
  <c r="AE175" i="1"/>
  <c r="AC175" i="1"/>
  <c r="AD175" i="1" s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J174" i="1"/>
  <c r="AK174" i="1" s="1"/>
  <c r="AI174" i="1"/>
  <c r="AH174" i="1"/>
  <c r="AF174" i="1"/>
  <c r="AE174" i="1"/>
  <c r="AC174" i="1"/>
  <c r="AD174" i="1" s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J173" i="1"/>
  <c r="AK173" i="1" s="1"/>
  <c r="AI173" i="1"/>
  <c r="AH173" i="1"/>
  <c r="AF173" i="1"/>
  <c r="AE173" i="1"/>
  <c r="AC173" i="1"/>
  <c r="AD173" i="1" s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J172" i="1"/>
  <c r="AK172" i="1" s="1"/>
  <c r="AI172" i="1"/>
  <c r="AH172" i="1"/>
  <c r="AF172" i="1"/>
  <c r="AE172" i="1"/>
  <c r="AC172" i="1"/>
  <c r="AD172" i="1" s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J171" i="1"/>
  <c r="AK171" i="1" s="1"/>
  <c r="AI171" i="1"/>
  <c r="AH171" i="1"/>
  <c r="AF171" i="1"/>
  <c r="AE171" i="1"/>
  <c r="AC171" i="1"/>
  <c r="AD171" i="1" s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J170" i="1"/>
  <c r="AK170" i="1" s="1"/>
  <c r="AI170" i="1"/>
  <c r="AH170" i="1"/>
  <c r="AF170" i="1"/>
  <c r="AE170" i="1"/>
  <c r="AC170" i="1"/>
  <c r="AD170" i="1" s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J169" i="1"/>
  <c r="AK169" i="1" s="1"/>
  <c r="AI169" i="1"/>
  <c r="AH169" i="1"/>
  <c r="AF169" i="1"/>
  <c r="AE169" i="1"/>
  <c r="AC169" i="1"/>
  <c r="AD169" i="1" s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J168" i="1"/>
  <c r="AK168" i="1" s="1"/>
  <c r="AI168" i="1"/>
  <c r="AH168" i="1"/>
  <c r="AF168" i="1"/>
  <c r="AE168" i="1"/>
  <c r="AC168" i="1"/>
  <c r="AD168" i="1" s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J167" i="1"/>
  <c r="AK167" i="1" s="1"/>
  <c r="AI167" i="1"/>
  <c r="AH167" i="1"/>
  <c r="AF167" i="1"/>
  <c r="AE167" i="1"/>
  <c r="AC167" i="1"/>
  <c r="AD167" i="1" s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J166" i="1"/>
  <c r="AK166" i="1" s="1"/>
  <c r="AI166" i="1"/>
  <c r="AH166" i="1"/>
  <c r="AF166" i="1"/>
  <c r="AE166" i="1"/>
  <c r="AC166" i="1"/>
  <c r="AD166" i="1" s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J165" i="1"/>
  <c r="AK165" i="1" s="1"/>
  <c r="AI165" i="1"/>
  <c r="AH165" i="1"/>
  <c r="AF165" i="1"/>
  <c r="AE165" i="1"/>
  <c r="AC165" i="1"/>
  <c r="AD165" i="1" s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J164" i="1"/>
  <c r="AK164" i="1" s="1"/>
  <c r="AI164" i="1"/>
  <c r="AH164" i="1"/>
  <c r="AF164" i="1"/>
  <c r="AE164" i="1"/>
  <c r="AC164" i="1"/>
  <c r="AD164" i="1" s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J163" i="1"/>
  <c r="AK163" i="1" s="1"/>
  <c r="AI163" i="1"/>
  <c r="AH163" i="1"/>
  <c r="AF163" i="1"/>
  <c r="AE163" i="1"/>
  <c r="AC163" i="1"/>
  <c r="AD163" i="1" s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J162" i="1"/>
  <c r="AK162" i="1" s="1"/>
  <c r="AI162" i="1"/>
  <c r="AH162" i="1"/>
  <c r="AF162" i="1"/>
  <c r="AE162" i="1"/>
  <c r="AC162" i="1"/>
  <c r="AD162" i="1" s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J161" i="1"/>
  <c r="AK161" i="1" s="1"/>
  <c r="AI161" i="1"/>
  <c r="AH161" i="1"/>
  <c r="AF161" i="1"/>
  <c r="AE161" i="1"/>
  <c r="AC161" i="1"/>
  <c r="AD161" i="1" s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J160" i="1"/>
  <c r="AK160" i="1" s="1"/>
  <c r="AI160" i="1"/>
  <c r="AH160" i="1"/>
  <c r="AF160" i="1"/>
  <c r="AE160" i="1"/>
  <c r="AC160" i="1"/>
  <c r="AD160" i="1" s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J159" i="1"/>
  <c r="AK159" i="1" s="1"/>
  <c r="AI159" i="1"/>
  <c r="AH159" i="1"/>
  <c r="AF159" i="1"/>
  <c r="AE159" i="1"/>
  <c r="AC159" i="1"/>
  <c r="AD159" i="1" s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J158" i="1"/>
  <c r="AK158" i="1" s="1"/>
  <c r="AI158" i="1"/>
  <c r="AH158" i="1"/>
  <c r="AF158" i="1"/>
  <c r="AE158" i="1"/>
  <c r="AC158" i="1"/>
  <c r="AD158" i="1" s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J157" i="1"/>
  <c r="AK157" i="1" s="1"/>
  <c r="AI157" i="1"/>
  <c r="AH157" i="1"/>
  <c r="AF157" i="1"/>
  <c r="AE157" i="1"/>
  <c r="AC157" i="1"/>
  <c r="AD157" i="1" s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2" i="1"/>
  <c r="AE2" i="1"/>
  <c r="AF2" i="1"/>
  <c r="AH2" i="1"/>
  <c r="AI2" i="1"/>
  <c r="AJ2" i="1"/>
  <c r="AK2" i="1" s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AE3" i="1"/>
  <c r="AF3" i="1"/>
  <c r="AH3" i="1"/>
  <c r="AI3" i="1"/>
  <c r="AJ3" i="1"/>
  <c r="AK3" i="1" s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AE4" i="1"/>
  <c r="AF4" i="1"/>
  <c r="AH4" i="1"/>
  <c r="AI4" i="1"/>
  <c r="AJ4" i="1"/>
  <c r="AK4" i="1" s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AE5" i="1"/>
  <c r="AF5" i="1"/>
  <c r="AH5" i="1"/>
  <c r="AI5" i="1"/>
  <c r="AJ5" i="1"/>
  <c r="AK5" i="1" s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AE6" i="1"/>
  <c r="AF6" i="1"/>
  <c r="AH6" i="1"/>
  <c r="AI6" i="1"/>
  <c r="AJ6" i="1"/>
  <c r="AK6" i="1" s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AE7" i="1"/>
  <c r="AF7" i="1"/>
  <c r="AH7" i="1"/>
  <c r="AI7" i="1"/>
  <c r="AJ7" i="1"/>
  <c r="AK7" i="1" s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AE8" i="1"/>
  <c r="AF8" i="1"/>
  <c r="AH8" i="1"/>
  <c r="AI8" i="1"/>
  <c r="AJ8" i="1"/>
  <c r="AK8" i="1" s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AE9" i="1"/>
  <c r="AF9" i="1"/>
  <c r="AH9" i="1"/>
  <c r="AI9" i="1"/>
  <c r="AJ9" i="1"/>
  <c r="AK9" i="1" s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AE10" i="1"/>
  <c r="AF10" i="1"/>
  <c r="AH10" i="1"/>
  <c r="AI10" i="1"/>
  <c r="AJ10" i="1"/>
  <c r="AK10" i="1" s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AE11" i="1"/>
  <c r="AF11" i="1"/>
  <c r="AH11" i="1"/>
  <c r="AI11" i="1"/>
  <c r="AJ11" i="1"/>
  <c r="AK11" i="1" s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AE12" i="1"/>
  <c r="AF12" i="1"/>
  <c r="AH12" i="1"/>
  <c r="AI12" i="1"/>
  <c r="AJ12" i="1"/>
  <c r="AK12" i="1" s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AE13" i="1"/>
  <c r="AF13" i="1"/>
  <c r="AH13" i="1"/>
  <c r="AI13" i="1"/>
  <c r="AJ13" i="1"/>
  <c r="AK13" i="1" s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AE14" i="1"/>
  <c r="AF14" i="1"/>
  <c r="AH14" i="1"/>
  <c r="AI14" i="1"/>
  <c r="AJ14" i="1"/>
  <c r="AK14" i="1" s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AE15" i="1"/>
  <c r="AF15" i="1"/>
  <c r="AH15" i="1"/>
  <c r="AI15" i="1"/>
  <c r="AJ15" i="1"/>
  <c r="AK15" i="1" s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AE16" i="1"/>
  <c r="AF16" i="1"/>
  <c r="AH16" i="1"/>
  <c r="AI16" i="1"/>
  <c r="AJ16" i="1"/>
  <c r="AK16" i="1" s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AE17" i="1"/>
  <c r="AF17" i="1"/>
  <c r="AH17" i="1"/>
  <c r="AI17" i="1"/>
  <c r="AJ17" i="1"/>
  <c r="AK17" i="1" s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AE18" i="1"/>
  <c r="AF18" i="1"/>
  <c r="AH18" i="1"/>
  <c r="AI18" i="1"/>
  <c r="AJ18" i="1"/>
  <c r="AK18" i="1" s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AE19" i="1"/>
  <c r="AF19" i="1"/>
  <c r="AH19" i="1"/>
  <c r="AI19" i="1"/>
  <c r="AJ19" i="1"/>
  <c r="AK19" i="1" s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AE20" i="1"/>
  <c r="AF20" i="1"/>
  <c r="AH20" i="1"/>
  <c r="AI20" i="1"/>
  <c r="AJ20" i="1"/>
  <c r="AK20" i="1" s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AE21" i="1"/>
  <c r="AF21" i="1"/>
  <c r="AH21" i="1"/>
  <c r="AI21" i="1"/>
  <c r="AJ21" i="1"/>
  <c r="AK21" i="1" s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AE22" i="1"/>
  <c r="AF22" i="1"/>
  <c r="AH22" i="1"/>
  <c r="AI22" i="1"/>
  <c r="AJ22" i="1"/>
  <c r="AK22" i="1" s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AE23" i="1"/>
  <c r="AF23" i="1"/>
  <c r="AH23" i="1"/>
  <c r="AI23" i="1"/>
  <c r="AJ23" i="1"/>
  <c r="AK23" i="1" s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AE24" i="1"/>
  <c r="AF24" i="1"/>
  <c r="AH24" i="1"/>
  <c r="AI24" i="1"/>
  <c r="AJ24" i="1"/>
  <c r="AK24" i="1" s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AE25" i="1"/>
  <c r="AF25" i="1"/>
  <c r="AH25" i="1"/>
  <c r="AI25" i="1"/>
  <c r="AJ25" i="1"/>
  <c r="AK25" i="1" s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AE26" i="1"/>
  <c r="AF26" i="1"/>
  <c r="AH26" i="1"/>
  <c r="AI26" i="1"/>
  <c r="AJ26" i="1"/>
  <c r="AK26" i="1" s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AE27" i="1"/>
  <c r="AF27" i="1"/>
  <c r="AH27" i="1"/>
  <c r="AI27" i="1"/>
  <c r="AJ27" i="1"/>
  <c r="AK27" i="1" s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AE28" i="1"/>
  <c r="AF28" i="1"/>
  <c r="AH28" i="1"/>
  <c r="AI28" i="1"/>
  <c r="AJ28" i="1"/>
  <c r="AK28" i="1" s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AE29" i="1"/>
  <c r="AF29" i="1"/>
  <c r="AH29" i="1"/>
  <c r="AI29" i="1"/>
  <c r="AJ29" i="1"/>
  <c r="AK29" i="1" s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AE30" i="1"/>
  <c r="AF30" i="1"/>
  <c r="AH30" i="1"/>
  <c r="AI30" i="1"/>
  <c r="AJ30" i="1"/>
  <c r="AK30" i="1" s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AE31" i="1"/>
  <c r="AF31" i="1"/>
  <c r="AH31" i="1"/>
  <c r="AI31" i="1"/>
  <c r="AJ31" i="1"/>
  <c r="AK31" i="1" s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AE32" i="1"/>
  <c r="AF32" i="1"/>
  <c r="AH32" i="1"/>
  <c r="AI32" i="1"/>
  <c r="AJ32" i="1"/>
  <c r="AK32" i="1" s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AE33" i="1"/>
  <c r="AF33" i="1"/>
  <c r="AH33" i="1"/>
  <c r="AI33" i="1"/>
  <c r="AJ33" i="1"/>
  <c r="AK33" i="1" s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AE34" i="1"/>
  <c r="AF34" i="1"/>
  <c r="AH34" i="1"/>
  <c r="AI34" i="1"/>
  <c r="AJ34" i="1"/>
  <c r="AK34" i="1" s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AE35" i="1"/>
  <c r="AF35" i="1"/>
  <c r="AH35" i="1"/>
  <c r="AI35" i="1"/>
  <c r="AJ35" i="1"/>
  <c r="AK35" i="1" s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AE36" i="1"/>
  <c r="AF36" i="1"/>
  <c r="AH36" i="1"/>
  <c r="AI36" i="1"/>
  <c r="AJ36" i="1"/>
  <c r="AK36" i="1" s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AE37" i="1"/>
  <c r="AF37" i="1"/>
  <c r="AH37" i="1"/>
  <c r="AI37" i="1"/>
  <c r="AJ37" i="1"/>
  <c r="AK37" i="1" s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AE38" i="1"/>
  <c r="AF38" i="1"/>
  <c r="AH38" i="1"/>
  <c r="AI38" i="1"/>
  <c r="AJ38" i="1"/>
  <c r="AK38" i="1" s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AE39" i="1"/>
  <c r="AF39" i="1"/>
  <c r="AH39" i="1"/>
  <c r="AI39" i="1"/>
  <c r="AJ39" i="1"/>
  <c r="AK39" i="1" s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AE40" i="1"/>
  <c r="AF40" i="1"/>
  <c r="AH40" i="1"/>
  <c r="AI40" i="1"/>
  <c r="AJ40" i="1"/>
  <c r="AK40" i="1" s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AE41" i="1"/>
  <c r="AF41" i="1"/>
  <c r="AH41" i="1"/>
  <c r="AI41" i="1"/>
  <c r="AJ41" i="1"/>
  <c r="AK41" i="1" s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AE42" i="1"/>
  <c r="AF42" i="1"/>
  <c r="AH42" i="1"/>
  <c r="AI42" i="1"/>
  <c r="AJ42" i="1"/>
  <c r="AK42" i="1" s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AE43" i="1"/>
  <c r="AF43" i="1"/>
  <c r="AH43" i="1"/>
  <c r="AI43" i="1"/>
  <c r="AJ43" i="1"/>
  <c r="AK43" i="1" s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AE44" i="1"/>
  <c r="AF44" i="1"/>
  <c r="AH44" i="1"/>
  <c r="AI44" i="1"/>
  <c r="AJ44" i="1"/>
  <c r="AK44" i="1" s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AE45" i="1"/>
  <c r="AF45" i="1"/>
  <c r="AH45" i="1"/>
  <c r="AI45" i="1"/>
  <c r="AJ45" i="1"/>
  <c r="AK45" i="1" s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AE46" i="1"/>
  <c r="AF46" i="1"/>
  <c r="AH46" i="1"/>
  <c r="AI46" i="1"/>
  <c r="AJ46" i="1"/>
  <c r="AK46" i="1" s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AE47" i="1"/>
  <c r="AF47" i="1"/>
  <c r="AH47" i="1"/>
  <c r="AI47" i="1"/>
  <c r="AJ47" i="1"/>
  <c r="AK47" i="1" s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AE48" i="1"/>
  <c r="AF48" i="1"/>
  <c r="AH48" i="1"/>
  <c r="AI48" i="1"/>
  <c r="AJ48" i="1"/>
  <c r="AK48" i="1" s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AE49" i="1"/>
  <c r="AF49" i="1"/>
  <c r="AH49" i="1"/>
  <c r="AI49" i="1"/>
  <c r="AJ49" i="1"/>
  <c r="AK49" i="1" s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AE50" i="1"/>
  <c r="AF50" i="1"/>
  <c r="AH50" i="1"/>
  <c r="AI50" i="1"/>
  <c r="AJ50" i="1"/>
  <c r="AK50" i="1" s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AE51" i="1"/>
  <c r="AF51" i="1"/>
  <c r="AH51" i="1"/>
  <c r="AI51" i="1"/>
  <c r="AJ51" i="1"/>
  <c r="AK51" i="1" s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AE52" i="1"/>
  <c r="AF52" i="1"/>
  <c r="AH52" i="1"/>
  <c r="AI52" i="1"/>
  <c r="AJ52" i="1"/>
  <c r="AK52" i="1" s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AE53" i="1"/>
  <c r="AF53" i="1"/>
  <c r="AH53" i="1"/>
  <c r="AI53" i="1"/>
  <c r="AJ53" i="1"/>
  <c r="AK53" i="1" s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AE54" i="1"/>
  <c r="AF54" i="1"/>
  <c r="AH54" i="1"/>
  <c r="AI54" i="1"/>
  <c r="AJ54" i="1"/>
  <c r="AK54" i="1" s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AE55" i="1"/>
  <c r="AF55" i="1"/>
  <c r="AH55" i="1"/>
  <c r="AI55" i="1"/>
  <c r="AJ55" i="1"/>
  <c r="AK55" i="1" s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AE56" i="1"/>
  <c r="AF56" i="1"/>
  <c r="AH56" i="1"/>
  <c r="AI56" i="1"/>
  <c r="AJ56" i="1"/>
  <c r="AK56" i="1" s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AE57" i="1"/>
  <c r="AF57" i="1"/>
  <c r="AH57" i="1"/>
  <c r="AI57" i="1"/>
  <c r="AJ57" i="1"/>
  <c r="AK57" i="1" s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AE58" i="1"/>
  <c r="AF58" i="1"/>
  <c r="AH58" i="1"/>
  <c r="AI58" i="1"/>
  <c r="AJ58" i="1"/>
  <c r="AK58" i="1" s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AE59" i="1"/>
  <c r="AF59" i="1"/>
  <c r="AH59" i="1"/>
  <c r="AI59" i="1"/>
  <c r="AJ59" i="1"/>
  <c r="AK59" i="1" s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AE60" i="1"/>
  <c r="AF60" i="1"/>
  <c r="AH60" i="1"/>
  <c r="AI60" i="1"/>
  <c r="AJ60" i="1"/>
  <c r="AK60" i="1" s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AE61" i="1"/>
  <c r="AF61" i="1"/>
  <c r="AH61" i="1"/>
  <c r="AI61" i="1"/>
  <c r="AJ61" i="1"/>
  <c r="AK61" i="1" s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AE62" i="1"/>
  <c r="AF62" i="1"/>
  <c r="AH62" i="1"/>
  <c r="AI62" i="1"/>
  <c r="AJ62" i="1"/>
  <c r="AK62" i="1" s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AE63" i="1"/>
  <c r="AF63" i="1"/>
  <c r="AH63" i="1"/>
  <c r="AI63" i="1"/>
  <c r="AJ63" i="1"/>
  <c r="AK63" i="1" s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AE64" i="1"/>
  <c r="AF64" i="1"/>
  <c r="AH64" i="1"/>
  <c r="AI64" i="1"/>
  <c r="AJ64" i="1"/>
  <c r="AK64" i="1" s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AE65" i="1"/>
  <c r="AF65" i="1"/>
  <c r="AH65" i="1"/>
  <c r="AI65" i="1"/>
  <c r="AJ65" i="1"/>
  <c r="AK65" i="1" s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AE66" i="1"/>
  <c r="AF66" i="1"/>
  <c r="AH66" i="1"/>
  <c r="AI66" i="1"/>
  <c r="AJ66" i="1"/>
  <c r="AK66" i="1" s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AE67" i="1"/>
  <c r="AF67" i="1"/>
  <c r="AH67" i="1"/>
  <c r="AI67" i="1"/>
  <c r="AJ67" i="1"/>
  <c r="AK67" i="1" s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AE68" i="1"/>
  <c r="AF68" i="1"/>
  <c r="AH68" i="1"/>
  <c r="AI68" i="1"/>
  <c r="AJ68" i="1"/>
  <c r="AK68" i="1" s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AE69" i="1"/>
  <c r="AF69" i="1"/>
  <c r="AH69" i="1"/>
  <c r="AI69" i="1"/>
  <c r="AJ69" i="1"/>
  <c r="AK69" i="1" s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AE70" i="1"/>
  <c r="AF70" i="1"/>
  <c r="AH70" i="1"/>
  <c r="AI70" i="1"/>
  <c r="AJ70" i="1"/>
  <c r="AK70" i="1" s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AE71" i="1"/>
  <c r="AF71" i="1"/>
  <c r="AH71" i="1"/>
  <c r="AI71" i="1"/>
  <c r="AJ71" i="1"/>
  <c r="AK71" i="1" s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AE72" i="1"/>
  <c r="AF72" i="1"/>
  <c r="AH72" i="1"/>
  <c r="AI72" i="1"/>
  <c r="AJ72" i="1"/>
  <c r="AK72" i="1" s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AE73" i="1"/>
  <c r="AF73" i="1"/>
  <c r="AH73" i="1"/>
  <c r="AI73" i="1"/>
  <c r="AJ73" i="1"/>
  <c r="AK73" i="1" s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AE74" i="1"/>
  <c r="AF74" i="1"/>
  <c r="AH74" i="1"/>
  <c r="AI74" i="1"/>
  <c r="AJ74" i="1"/>
  <c r="AK74" i="1" s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AE75" i="1"/>
  <c r="AF75" i="1"/>
  <c r="AH75" i="1"/>
  <c r="AI75" i="1"/>
  <c r="AJ75" i="1"/>
  <c r="AK75" i="1" s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AE76" i="1"/>
  <c r="AF76" i="1"/>
  <c r="AH76" i="1"/>
  <c r="AI76" i="1"/>
  <c r="AJ76" i="1"/>
  <c r="AK76" i="1" s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AE77" i="1"/>
  <c r="AF77" i="1"/>
  <c r="AH77" i="1"/>
  <c r="AI77" i="1"/>
  <c r="AJ77" i="1"/>
  <c r="AK77" i="1" s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AE78" i="1"/>
  <c r="AF78" i="1"/>
  <c r="AH78" i="1"/>
  <c r="AI78" i="1"/>
  <c r="AJ78" i="1"/>
  <c r="AK78" i="1" s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AE79" i="1"/>
  <c r="AF79" i="1"/>
  <c r="AH79" i="1"/>
  <c r="AI79" i="1"/>
  <c r="AJ79" i="1"/>
  <c r="AK79" i="1" s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AE80" i="1"/>
  <c r="AF80" i="1"/>
  <c r="AH80" i="1"/>
  <c r="AI80" i="1"/>
  <c r="AJ80" i="1"/>
  <c r="AK80" i="1" s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AE81" i="1"/>
  <c r="AF81" i="1"/>
  <c r="AH81" i="1"/>
  <c r="AI81" i="1"/>
  <c r="AJ81" i="1"/>
  <c r="AK81" i="1" s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AE82" i="1"/>
  <c r="AF82" i="1"/>
  <c r="AH82" i="1"/>
  <c r="AI82" i="1"/>
  <c r="AJ82" i="1"/>
  <c r="AK82" i="1" s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AE83" i="1"/>
  <c r="AF83" i="1"/>
  <c r="AH83" i="1"/>
  <c r="AI83" i="1"/>
  <c r="AJ83" i="1"/>
  <c r="AK83" i="1" s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AE84" i="1"/>
  <c r="AF84" i="1"/>
  <c r="AH84" i="1"/>
  <c r="AI84" i="1"/>
  <c r="AJ84" i="1"/>
  <c r="AK84" i="1" s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AE85" i="1"/>
  <c r="AF85" i="1"/>
  <c r="AH85" i="1"/>
  <c r="AI85" i="1"/>
  <c r="AJ85" i="1"/>
  <c r="AK85" i="1" s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AE86" i="1"/>
  <c r="AF86" i="1"/>
  <c r="AH86" i="1"/>
  <c r="AI86" i="1"/>
  <c r="AJ86" i="1"/>
  <c r="AK86" i="1" s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AE87" i="1"/>
  <c r="AF87" i="1"/>
  <c r="AH87" i="1"/>
  <c r="AI87" i="1"/>
  <c r="AJ87" i="1"/>
  <c r="AK87" i="1" s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AE88" i="1"/>
  <c r="AF88" i="1"/>
  <c r="AH88" i="1"/>
  <c r="AI88" i="1"/>
  <c r="AJ88" i="1"/>
  <c r="AK88" i="1" s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AE89" i="1"/>
  <c r="AF89" i="1"/>
  <c r="AH89" i="1"/>
  <c r="AI89" i="1"/>
  <c r="AJ89" i="1"/>
  <c r="AK89" i="1" s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AE90" i="1"/>
  <c r="AF90" i="1"/>
  <c r="AH90" i="1"/>
  <c r="AI90" i="1"/>
  <c r="AJ90" i="1"/>
  <c r="AK90" i="1" s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AE91" i="1"/>
  <c r="AF91" i="1"/>
  <c r="AH91" i="1"/>
  <c r="AI91" i="1"/>
  <c r="AJ91" i="1"/>
  <c r="AK91" i="1" s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AE92" i="1"/>
  <c r="AF92" i="1"/>
  <c r="AH92" i="1"/>
  <c r="AI92" i="1"/>
  <c r="AJ92" i="1"/>
  <c r="AK92" i="1" s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AE93" i="1"/>
  <c r="AF93" i="1"/>
  <c r="AH93" i="1"/>
  <c r="AI93" i="1"/>
  <c r="AJ93" i="1"/>
  <c r="AK93" i="1" s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AE94" i="1"/>
  <c r="AF94" i="1"/>
  <c r="AH94" i="1"/>
  <c r="AI94" i="1"/>
  <c r="AJ94" i="1"/>
  <c r="AK94" i="1" s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AE95" i="1"/>
  <c r="AF95" i="1"/>
  <c r="AH95" i="1"/>
  <c r="AI95" i="1"/>
  <c r="AJ95" i="1"/>
  <c r="AK95" i="1" s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AE96" i="1"/>
  <c r="AF96" i="1"/>
  <c r="AH96" i="1"/>
  <c r="AI96" i="1"/>
  <c r="AJ96" i="1"/>
  <c r="AK96" i="1" s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AE97" i="1"/>
  <c r="AF97" i="1"/>
  <c r="AH97" i="1"/>
  <c r="AI97" i="1"/>
  <c r="AJ97" i="1"/>
  <c r="AK97" i="1" s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AE98" i="1"/>
  <c r="AF98" i="1"/>
  <c r="AH98" i="1"/>
  <c r="AI98" i="1"/>
  <c r="AJ98" i="1"/>
  <c r="AK98" i="1" s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AE99" i="1"/>
  <c r="AF99" i="1"/>
  <c r="AH99" i="1"/>
  <c r="AI99" i="1"/>
  <c r="AJ99" i="1"/>
  <c r="AK99" i="1" s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AE100" i="1"/>
  <c r="AF100" i="1"/>
  <c r="AH100" i="1"/>
  <c r="AI100" i="1"/>
  <c r="AJ100" i="1"/>
  <c r="AK100" i="1" s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AE101" i="1"/>
  <c r="AF101" i="1"/>
  <c r="AH101" i="1"/>
  <c r="AI101" i="1"/>
  <c r="AJ101" i="1"/>
  <c r="AK101" i="1" s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AE102" i="1"/>
  <c r="AF102" i="1"/>
  <c r="AH102" i="1"/>
  <c r="AI102" i="1"/>
  <c r="AJ102" i="1"/>
  <c r="AK102" i="1" s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AE103" i="1"/>
  <c r="AF103" i="1"/>
  <c r="AH103" i="1"/>
  <c r="AI103" i="1"/>
  <c r="AJ103" i="1"/>
  <c r="AK103" i="1" s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AE104" i="1"/>
  <c r="AF104" i="1"/>
  <c r="AH104" i="1"/>
  <c r="AI104" i="1"/>
  <c r="AJ104" i="1"/>
  <c r="AK104" i="1" s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AE105" i="1"/>
  <c r="AF105" i="1"/>
  <c r="AH105" i="1"/>
  <c r="AI105" i="1"/>
  <c r="AJ105" i="1"/>
  <c r="AK105" i="1" s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AE106" i="1"/>
  <c r="AF106" i="1"/>
  <c r="AH106" i="1"/>
  <c r="AI106" i="1"/>
  <c r="AJ106" i="1"/>
  <c r="AK106" i="1" s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AE107" i="1"/>
  <c r="AF107" i="1"/>
  <c r="AH107" i="1"/>
  <c r="AI107" i="1"/>
  <c r="AJ107" i="1"/>
  <c r="AK107" i="1" s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AE108" i="1"/>
  <c r="AF108" i="1"/>
  <c r="AH108" i="1"/>
  <c r="AI108" i="1"/>
  <c r="AJ108" i="1"/>
  <c r="AK108" i="1" s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AE109" i="1"/>
  <c r="AF109" i="1"/>
  <c r="AH109" i="1"/>
  <c r="AI109" i="1"/>
  <c r="AJ109" i="1"/>
  <c r="AK109" i="1" s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AE110" i="1"/>
  <c r="AF110" i="1"/>
  <c r="AH110" i="1"/>
  <c r="AI110" i="1"/>
  <c r="AJ110" i="1"/>
  <c r="AK110" i="1" s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AE111" i="1"/>
  <c r="AF111" i="1"/>
  <c r="AH111" i="1"/>
  <c r="AI111" i="1"/>
  <c r="AJ111" i="1"/>
  <c r="AK111" i="1" s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AE112" i="1"/>
  <c r="AF112" i="1"/>
  <c r="AH112" i="1"/>
  <c r="AI112" i="1"/>
  <c r="AJ112" i="1"/>
  <c r="AK112" i="1" s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AE113" i="1"/>
  <c r="AF113" i="1"/>
  <c r="AH113" i="1"/>
  <c r="AI113" i="1"/>
  <c r="AJ113" i="1"/>
  <c r="AK113" i="1" s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AE114" i="1"/>
  <c r="AF114" i="1"/>
  <c r="AH114" i="1"/>
  <c r="AI114" i="1"/>
  <c r="AJ114" i="1"/>
  <c r="AK114" i="1" s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AE115" i="1"/>
  <c r="AF115" i="1"/>
  <c r="AH115" i="1"/>
  <c r="AI115" i="1"/>
  <c r="AJ115" i="1"/>
  <c r="AK115" i="1" s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AE116" i="1"/>
  <c r="AF116" i="1"/>
  <c r="AH116" i="1"/>
  <c r="AI116" i="1"/>
  <c r="AJ116" i="1"/>
  <c r="AK116" i="1" s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AE117" i="1"/>
  <c r="AF117" i="1"/>
  <c r="AH117" i="1"/>
  <c r="AI117" i="1"/>
  <c r="AJ117" i="1"/>
  <c r="AK117" i="1" s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AE118" i="1"/>
  <c r="AF118" i="1"/>
  <c r="AH118" i="1"/>
  <c r="AI118" i="1"/>
  <c r="AJ118" i="1"/>
  <c r="AK118" i="1" s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AE119" i="1"/>
  <c r="AF119" i="1"/>
  <c r="AH119" i="1"/>
  <c r="AI119" i="1"/>
  <c r="AJ119" i="1"/>
  <c r="AK119" i="1" s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AE120" i="1"/>
  <c r="AF120" i="1"/>
  <c r="AH120" i="1"/>
  <c r="AI120" i="1"/>
  <c r="AJ120" i="1"/>
  <c r="AK120" i="1" s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AE121" i="1"/>
  <c r="AF121" i="1"/>
  <c r="AH121" i="1"/>
  <c r="AI121" i="1"/>
  <c r="AJ121" i="1"/>
  <c r="AK121" i="1" s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AE122" i="1"/>
  <c r="AF122" i="1"/>
  <c r="AH122" i="1"/>
  <c r="AI122" i="1"/>
  <c r="AJ122" i="1"/>
  <c r="AK122" i="1" s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AE123" i="1"/>
  <c r="AF123" i="1"/>
  <c r="AH123" i="1"/>
  <c r="AI123" i="1"/>
  <c r="AJ123" i="1"/>
  <c r="AK123" i="1" s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AE124" i="1"/>
  <c r="AF124" i="1"/>
  <c r="AH124" i="1"/>
  <c r="AI124" i="1"/>
  <c r="AJ124" i="1"/>
  <c r="AK124" i="1" s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AE125" i="1"/>
  <c r="AF125" i="1"/>
  <c r="AH125" i="1"/>
  <c r="AI125" i="1"/>
  <c r="AJ125" i="1"/>
  <c r="AK125" i="1" s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AE126" i="1"/>
  <c r="AF126" i="1"/>
  <c r="AH126" i="1"/>
  <c r="AI126" i="1"/>
  <c r="AJ126" i="1"/>
  <c r="AK126" i="1" s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AE127" i="1"/>
  <c r="AF127" i="1"/>
  <c r="AH127" i="1"/>
  <c r="AI127" i="1"/>
  <c r="AJ127" i="1"/>
  <c r="AK127" i="1" s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AE128" i="1"/>
  <c r="AF128" i="1"/>
  <c r="AH128" i="1"/>
  <c r="AI128" i="1"/>
  <c r="AJ128" i="1"/>
  <c r="AK128" i="1" s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AE129" i="1"/>
  <c r="AF129" i="1"/>
  <c r="AH129" i="1"/>
  <c r="AI129" i="1"/>
  <c r="AJ129" i="1"/>
  <c r="AK129" i="1" s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AE130" i="1"/>
  <c r="AF130" i="1"/>
  <c r="AH130" i="1"/>
  <c r="AI130" i="1"/>
  <c r="AJ130" i="1"/>
  <c r="AK130" i="1" s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AE131" i="1"/>
  <c r="AF131" i="1"/>
  <c r="AH131" i="1"/>
  <c r="AI131" i="1"/>
  <c r="AJ131" i="1"/>
  <c r="AK131" i="1" s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AE132" i="1"/>
  <c r="AF132" i="1"/>
  <c r="AH132" i="1"/>
  <c r="AI132" i="1"/>
  <c r="AJ132" i="1"/>
  <c r="AK132" i="1" s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AE133" i="1"/>
  <c r="AF133" i="1"/>
  <c r="AH133" i="1"/>
  <c r="AI133" i="1"/>
  <c r="AJ133" i="1"/>
  <c r="AK133" i="1" s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AE134" i="1"/>
  <c r="AF134" i="1"/>
  <c r="AH134" i="1"/>
  <c r="AI134" i="1"/>
  <c r="AJ134" i="1"/>
  <c r="AK134" i="1" s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AE135" i="1"/>
  <c r="AF135" i="1"/>
  <c r="AH135" i="1"/>
  <c r="AI135" i="1"/>
  <c r="AJ135" i="1"/>
  <c r="AK135" i="1" s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AE136" i="1"/>
  <c r="AF136" i="1"/>
  <c r="AH136" i="1"/>
  <c r="AI136" i="1"/>
  <c r="AJ136" i="1"/>
  <c r="AK136" i="1" s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AE137" i="1"/>
  <c r="AF137" i="1"/>
  <c r="AH137" i="1"/>
  <c r="AI137" i="1"/>
  <c r="AJ137" i="1"/>
  <c r="AK137" i="1" s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AE138" i="1"/>
  <c r="AF138" i="1"/>
  <c r="AH138" i="1"/>
  <c r="AI138" i="1"/>
  <c r="AJ138" i="1"/>
  <c r="AK138" i="1" s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AE139" i="1"/>
  <c r="AF139" i="1"/>
  <c r="AH139" i="1"/>
  <c r="AI139" i="1"/>
  <c r="AJ139" i="1"/>
  <c r="AK139" i="1" s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AE140" i="1"/>
  <c r="AF140" i="1"/>
  <c r="AH140" i="1"/>
  <c r="AI140" i="1"/>
  <c r="AJ140" i="1"/>
  <c r="AK140" i="1" s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AE141" i="1"/>
  <c r="AF141" i="1"/>
  <c r="AH141" i="1"/>
  <c r="AI141" i="1"/>
  <c r="AJ141" i="1"/>
  <c r="AK141" i="1" s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AE142" i="1"/>
  <c r="AF142" i="1"/>
  <c r="AH142" i="1"/>
  <c r="AI142" i="1"/>
  <c r="AJ142" i="1"/>
  <c r="AK142" i="1" s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AE143" i="1"/>
  <c r="AF143" i="1"/>
  <c r="AH143" i="1"/>
  <c r="AI143" i="1"/>
  <c r="AJ143" i="1"/>
  <c r="AK143" i="1" s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AE144" i="1"/>
  <c r="AF144" i="1"/>
  <c r="AH144" i="1"/>
  <c r="AI144" i="1"/>
  <c r="AJ144" i="1"/>
  <c r="AK144" i="1" s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AE145" i="1"/>
  <c r="AF145" i="1"/>
  <c r="AH145" i="1"/>
  <c r="AI145" i="1"/>
  <c r="AJ145" i="1"/>
  <c r="AK145" i="1" s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AE146" i="1"/>
  <c r="AF146" i="1"/>
  <c r="AH146" i="1"/>
  <c r="AI146" i="1"/>
  <c r="AJ146" i="1"/>
  <c r="AK146" i="1" s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AE147" i="1"/>
  <c r="AF147" i="1"/>
  <c r="AH147" i="1"/>
  <c r="AI147" i="1"/>
  <c r="AJ147" i="1"/>
  <c r="AK147" i="1" s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AE148" i="1"/>
  <c r="AF148" i="1"/>
  <c r="AH148" i="1"/>
  <c r="AI148" i="1"/>
  <c r="AJ148" i="1"/>
  <c r="AK148" i="1" s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AE149" i="1"/>
  <c r="AF149" i="1"/>
  <c r="AH149" i="1"/>
  <c r="AI149" i="1"/>
  <c r="AJ149" i="1"/>
  <c r="AK149" i="1" s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AE150" i="1"/>
  <c r="AF150" i="1"/>
  <c r="AH150" i="1"/>
  <c r="AI150" i="1"/>
  <c r="AJ150" i="1"/>
  <c r="AK150" i="1" s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AE151" i="1"/>
  <c r="AF151" i="1"/>
  <c r="AH151" i="1"/>
  <c r="AI151" i="1"/>
  <c r="AJ151" i="1"/>
  <c r="AK151" i="1" s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AE152" i="1"/>
  <c r="AF152" i="1"/>
  <c r="AH152" i="1"/>
  <c r="AI152" i="1"/>
  <c r="AJ152" i="1"/>
  <c r="AK152" i="1" s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AE153" i="1"/>
  <c r="AF153" i="1"/>
  <c r="AH153" i="1"/>
  <c r="AI153" i="1"/>
  <c r="AJ153" i="1"/>
  <c r="AK153" i="1" s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AE154" i="1"/>
  <c r="AF154" i="1"/>
  <c r="AH154" i="1"/>
  <c r="AI154" i="1"/>
  <c r="AJ154" i="1"/>
  <c r="AK154" i="1" s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AE155" i="1"/>
  <c r="AF155" i="1"/>
  <c r="AH155" i="1"/>
  <c r="AI155" i="1"/>
  <c r="AJ155" i="1"/>
  <c r="AK155" i="1" s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AE156" i="1"/>
  <c r="AF156" i="1"/>
  <c r="AH156" i="1"/>
  <c r="AI156" i="1"/>
  <c r="AJ156" i="1"/>
  <c r="AK156" i="1" s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AD90" i="1" l="1"/>
  <c r="AD98" i="1"/>
  <c r="AD137" i="1"/>
  <c r="AD38" i="1"/>
  <c r="AD14" i="1"/>
  <c r="AD85" i="1"/>
  <c r="AD8" i="1"/>
  <c r="AD147" i="1"/>
  <c r="AD135" i="1"/>
  <c r="AD123" i="1"/>
  <c r="AD111" i="1"/>
  <c r="AD99" i="1"/>
  <c r="AD87" i="1"/>
  <c r="AD75" i="1"/>
  <c r="AD63" i="1"/>
  <c r="AD51" i="1"/>
  <c r="AD39" i="1"/>
  <c r="AD27" i="1"/>
  <c r="AD15" i="1"/>
  <c r="AD3" i="1"/>
  <c r="AD154" i="1"/>
  <c r="AD142" i="1"/>
  <c r="AD130" i="1"/>
  <c r="AD118" i="1"/>
  <c r="AD106" i="1"/>
  <c r="AD94" i="1"/>
  <c r="AD82" i="1"/>
  <c r="AD70" i="1"/>
  <c r="AD58" i="1"/>
  <c r="AD46" i="1"/>
  <c r="AD34" i="1"/>
  <c r="AD22" i="1"/>
  <c r="AD10" i="1"/>
  <c r="AD73" i="1"/>
  <c r="AD152" i="1"/>
  <c r="AD116" i="1"/>
  <c r="AD120" i="1"/>
  <c r="AD24" i="1"/>
  <c r="AD12" i="1"/>
  <c r="AD151" i="1"/>
  <c r="AD139" i="1"/>
  <c r="AD127" i="1"/>
  <c r="AD115" i="1"/>
  <c r="AD103" i="1"/>
  <c r="AD91" i="1"/>
  <c r="AD79" i="1"/>
  <c r="AD67" i="1"/>
  <c r="AD55" i="1"/>
  <c r="AD43" i="1"/>
  <c r="AD31" i="1"/>
  <c r="AD19" i="1"/>
  <c r="AD7" i="1"/>
  <c r="AD133" i="1"/>
  <c r="AD121" i="1"/>
  <c r="AD25" i="1"/>
  <c r="AD104" i="1"/>
  <c r="AD80" i="1"/>
  <c r="AD68" i="1"/>
  <c r="AD149" i="1"/>
  <c r="AD144" i="1"/>
  <c r="AD108" i="1"/>
  <c r="AD84" i="1"/>
  <c r="AD72" i="1"/>
  <c r="AD60" i="1"/>
  <c r="AD146" i="1"/>
  <c r="AD110" i="1"/>
  <c r="AD86" i="1"/>
  <c r="AD74" i="1"/>
  <c r="AD62" i="1"/>
  <c r="AD50" i="1"/>
  <c r="AD26" i="1"/>
  <c r="AD2" i="1"/>
  <c r="AD128" i="1"/>
  <c r="AD32" i="1"/>
  <c r="AD20" i="1"/>
  <c r="AD125" i="1"/>
  <c r="AD113" i="1"/>
  <c r="AD101" i="1"/>
  <c r="AD77" i="1"/>
  <c r="AD65" i="1"/>
  <c r="AD53" i="1"/>
  <c r="AD41" i="1"/>
  <c r="AD17" i="1"/>
  <c r="AD156" i="1"/>
  <c r="AD96" i="1"/>
  <c r="AD48" i="1"/>
  <c r="AD36" i="1"/>
  <c r="AD134" i="1"/>
  <c r="AD122" i="1"/>
  <c r="AD153" i="1"/>
  <c r="AD141" i="1"/>
  <c r="AD129" i="1"/>
  <c r="AD117" i="1"/>
  <c r="AD105" i="1"/>
  <c r="AD93" i="1"/>
  <c r="AD81" i="1"/>
  <c r="AD69" i="1"/>
  <c r="AD57" i="1"/>
  <c r="AD45" i="1"/>
  <c r="AD33" i="1"/>
  <c r="AD21" i="1"/>
  <c r="AD9" i="1"/>
  <c r="AD97" i="1"/>
  <c r="AD49" i="1"/>
  <c r="AD140" i="1"/>
  <c r="AD56" i="1"/>
  <c r="AD89" i="1"/>
  <c r="AD29" i="1"/>
  <c r="AD5" i="1"/>
  <c r="AD148" i="1"/>
  <c r="AD136" i="1"/>
  <c r="AD124" i="1"/>
  <c r="AD112" i="1"/>
  <c r="AD100" i="1"/>
  <c r="AD88" i="1"/>
  <c r="AD76" i="1"/>
  <c r="AD64" i="1"/>
  <c r="AD52" i="1"/>
  <c r="AD40" i="1"/>
  <c r="AD28" i="1"/>
  <c r="AD16" i="1"/>
  <c r="AD4" i="1"/>
  <c r="AD145" i="1"/>
  <c r="AD109" i="1"/>
  <c r="AD143" i="1"/>
  <c r="AD131" i="1"/>
  <c r="AD119" i="1"/>
  <c r="AD107" i="1"/>
  <c r="AD95" i="1"/>
  <c r="AD83" i="1"/>
  <c r="AD71" i="1"/>
  <c r="AD59" i="1"/>
  <c r="AD47" i="1"/>
  <c r="AD35" i="1"/>
  <c r="AD23" i="1"/>
  <c r="AD11" i="1"/>
  <c r="AD61" i="1"/>
  <c r="AD37" i="1"/>
  <c r="AD13" i="1"/>
  <c r="AD92" i="1"/>
  <c r="AD44" i="1"/>
  <c r="AD132" i="1"/>
  <c r="AD155" i="1"/>
  <c r="AD150" i="1"/>
  <c r="AD138" i="1"/>
  <c r="AD126" i="1"/>
  <c r="AD114" i="1"/>
  <c r="AD102" i="1"/>
  <c r="AD78" i="1"/>
  <c r="AD66" i="1"/>
  <c r="AD54" i="1"/>
  <c r="AD42" i="1"/>
  <c r="AD30" i="1"/>
  <c r="AD18" i="1"/>
  <c r="AD6" i="1"/>
  <c r="A47" i="9" l="1"/>
  <c r="A32" i="9"/>
  <c r="A17" i="9"/>
  <c r="A2" i="9"/>
  <c r="S2" i="7" a="1"/>
  <c r="S2" i="7" l="1"/>
  <c r="U1" i="7" a="1"/>
  <c r="U1" i="7" l="1"/>
  <c r="K15" i="7" l="1"/>
  <c r="D169" i="7" s="1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K12" i="7" s="1"/>
  <c r="D166" i="7" s="1"/>
  <c r="F11" i="7"/>
  <c r="K11" i="7" s="1"/>
  <c r="D165" i="7" s="1"/>
  <c r="B42" i="9" s="1"/>
  <c r="F10" i="7"/>
  <c r="F9" i="7"/>
  <c r="F8" i="7"/>
  <c r="F7" i="7"/>
  <c r="F6" i="7"/>
  <c r="K6" i="7" s="1"/>
  <c r="D160" i="7" s="1"/>
  <c r="B39" i="9" s="1"/>
  <c r="F5" i="7"/>
  <c r="K5" i="7" s="1"/>
  <c r="D159" i="7" s="1"/>
  <c r="B38" i="9" s="1"/>
  <c r="F4" i="7"/>
  <c r="F3" i="7"/>
  <c r="K16" i="7" l="1"/>
  <c r="D170" i="7" s="1"/>
  <c r="K17" i="7"/>
  <c r="D171" i="7" s="1"/>
  <c r="K19" i="7"/>
  <c r="H158" i="7" s="1"/>
  <c r="K20" i="7"/>
  <c r="H159" i="7" s="1"/>
  <c r="F38" i="9" s="1"/>
  <c r="K21" i="7"/>
  <c r="H160" i="7" s="1"/>
  <c r="F39" i="9" s="1"/>
  <c r="J39" i="9" s="1"/>
  <c r="K3" i="7"/>
  <c r="K4" i="7"/>
  <c r="D158" i="7" s="1"/>
  <c r="K7" i="7"/>
  <c r="D161" i="7" s="1"/>
  <c r="K8" i="7"/>
  <c r="D162" i="7" s="1"/>
  <c r="K9" i="7"/>
  <c r="D163" i="7" s="1"/>
  <c r="K92" i="7"/>
  <c r="J171" i="7" s="1"/>
  <c r="K10" i="7"/>
  <c r="D164" i="7" s="1"/>
  <c r="H21" i="7"/>
  <c r="H114" i="7" s="1"/>
  <c r="F9" i="9" s="1"/>
  <c r="H45" i="7"/>
  <c r="E123" i="7" s="1"/>
  <c r="H77" i="7"/>
  <c r="F125" i="7" s="1"/>
  <c r="H85" i="7"/>
  <c r="J118" i="7" s="1"/>
  <c r="H89" i="7"/>
  <c r="J122" i="7" s="1"/>
  <c r="I5" i="7"/>
  <c r="D136" i="7" s="1"/>
  <c r="I9" i="7"/>
  <c r="D140" i="7" s="1"/>
  <c r="I13" i="7"/>
  <c r="D144" i="7" s="1"/>
  <c r="I17" i="7"/>
  <c r="D148" i="7" s="1"/>
  <c r="I21" i="7"/>
  <c r="H137" i="7" s="1"/>
  <c r="I25" i="7"/>
  <c r="H141" i="7" s="1"/>
  <c r="I29" i="7"/>
  <c r="H145" i="7" s="1"/>
  <c r="I33" i="7"/>
  <c r="E134" i="7" s="1"/>
  <c r="I37" i="7"/>
  <c r="E138" i="7" s="1"/>
  <c r="I41" i="7"/>
  <c r="E142" i="7" s="1"/>
  <c r="C27" i="9" s="1"/>
  <c r="I45" i="7"/>
  <c r="E146" i="7" s="1"/>
  <c r="I49" i="7"/>
  <c r="I135" i="7" s="1"/>
  <c r="I53" i="7"/>
  <c r="I139" i="7" s="1"/>
  <c r="I57" i="7"/>
  <c r="I143" i="7" s="1"/>
  <c r="I61" i="7"/>
  <c r="I147" i="7" s="1"/>
  <c r="I65" i="7"/>
  <c r="F136" i="7" s="1"/>
  <c r="D23" i="9" s="1"/>
  <c r="I69" i="7"/>
  <c r="F140" i="7" s="1"/>
  <c r="I73" i="7"/>
  <c r="F144" i="7" s="1"/>
  <c r="I77" i="7"/>
  <c r="F148" i="7" s="1"/>
  <c r="I81" i="7"/>
  <c r="J137" i="7" s="1"/>
  <c r="H24" i="9" s="1"/>
  <c r="I85" i="7"/>
  <c r="J141" i="7" s="1"/>
  <c r="I89" i="7"/>
  <c r="J145" i="7" s="1"/>
  <c r="H25" i="7"/>
  <c r="H118" i="7" s="1"/>
  <c r="H57" i="7"/>
  <c r="I120" i="7" s="1"/>
  <c r="H81" i="7"/>
  <c r="J114" i="7" s="1"/>
  <c r="H9" i="9" s="1"/>
  <c r="J5" i="7"/>
  <c r="D181" i="7" s="1"/>
  <c r="B53" i="9" s="1"/>
  <c r="J9" i="7"/>
  <c r="D185" i="7" s="1"/>
  <c r="J13" i="7"/>
  <c r="D189" i="7" s="1"/>
  <c r="J17" i="7"/>
  <c r="D193" i="7" s="1"/>
  <c r="J21" i="7"/>
  <c r="H182" i="7" s="1"/>
  <c r="F54" i="9" s="1"/>
  <c r="J25" i="7"/>
  <c r="H186" i="7" s="1"/>
  <c r="J29" i="7"/>
  <c r="H190" i="7" s="1"/>
  <c r="J33" i="7"/>
  <c r="E179" i="7" s="1"/>
  <c r="J37" i="7"/>
  <c r="E183" i="7" s="1"/>
  <c r="J41" i="7"/>
  <c r="E187" i="7" s="1"/>
  <c r="C57" i="9" s="1"/>
  <c r="J45" i="7"/>
  <c r="E191" i="7" s="1"/>
  <c r="J49" i="7"/>
  <c r="I180" i="7" s="1"/>
  <c r="J53" i="7"/>
  <c r="I184" i="7" s="1"/>
  <c r="J57" i="7"/>
  <c r="I188" i="7" s="1"/>
  <c r="J61" i="7"/>
  <c r="I192" i="7" s="1"/>
  <c r="J65" i="7"/>
  <c r="F181" i="7" s="1"/>
  <c r="D53" i="9" s="1"/>
  <c r="J69" i="7"/>
  <c r="F185" i="7" s="1"/>
  <c r="J73" i="7"/>
  <c r="F189" i="7" s="1"/>
  <c r="J77" i="7"/>
  <c r="F193" i="7" s="1"/>
  <c r="J81" i="7"/>
  <c r="J182" i="7" s="1"/>
  <c r="H54" i="9" s="1"/>
  <c r="J85" i="7"/>
  <c r="J186" i="7" s="1"/>
  <c r="J89" i="7"/>
  <c r="J190" i="7" s="1"/>
  <c r="H49" i="7"/>
  <c r="I112" i="7" s="1"/>
  <c r="K13" i="7"/>
  <c r="D167" i="7" s="1"/>
  <c r="K25" i="7"/>
  <c r="H164" i="7" s="1"/>
  <c r="K29" i="7"/>
  <c r="H168" i="7" s="1"/>
  <c r="K33" i="7"/>
  <c r="E157" i="7" s="1"/>
  <c r="K37" i="7"/>
  <c r="E161" i="7" s="1"/>
  <c r="K41" i="7"/>
  <c r="E165" i="7" s="1"/>
  <c r="C42" i="9" s="1"/>
  <c r="K45" i="7"/>
  <c r="E169" i="7" s="1"/>
  <c r="K49" i="7"/>
  <c r="I158" i="7" s="1"/>
  <c r="K53" i="7"/>
  <c r="I162" i="7" s="1"/>
  <c r="K57" i="7"/>
  <c r="I166" i="7" s="1"/>
  <c r="K61" i="7"/>
  <c r="I170" i="7" s="1"/>
  <c r="K65" i="7"/>
  <c r="F159" i="7" s="1"/>
  <c r="D38" i="9" s="1"/>
  <c r="K69" i="7"/>
  <c r="F163" i="7" s="1"/>
  <c r="K73" i="7"/>
  <c r="F167" i="7" s="1"/>
  <c r="K77" i="7"/>
  <c r="F171" i="7" s="1"/>
  <c r="K81" i="7"/>
  <c r="J160" i="7" s="1"/>
  <c r="H39" i="9" s="1"/>
  <c r="K85" i="7"/>
  <c r="J164" i="7" s="1"/>
  <c r="K89" i="7"/>
  <c r="J168" i="7" s="1"/>
  <c r="H41" i="7"/>
  <c r="E119" i="7" s="1"/>
  <c r="C12" i="9" s="1"/>
  <c r="H6" i="7"/>
  <c r="D114" i="7" s="1"/>
  <c r="B9" i="9" s="1"/>
  <c r="H10" i="7"/>
  <c r="D118" i="7" s="1"/>
  <c r="H14" i="7"/>
  <c r="D122" i="7" s="1"/>
  <c r="H18" i="7"/>
  <c r="H111" i="7" s="1"/>
  <c r="H22" i="7"/>
  <c r="H115" i="7" s="1"/>
  <c r="H26" i="7"/>
  <c r="H119" i="7" s="1"/>
  <c r="F12" i="9" s="1"/>
  <c r="H30" i="7"/>
  <c r="H123" i="7" s="1"/>
  <c r="H34" i="7"/>
  <c r="E112" i="7" s="1"/>
  <c r="H38" i="7"/>
  <c r="E116" i="7" s="1"/>
  <c r="H42" i="7"/>
  <c r="E120" i="7" s="1"/>
  <c r="H46" i="7"/>
  <c r="E124" i="7" s="1"/>
  <c r="H50" i="7"/>
  <c r="I113" i="7" s="1"/>
  <c r="G8" i="9" s="1"/>
  <c r="H54" i="7"/>
  <c r="I117" i="7" s="1"/>
  <c r="H58" i="7"/>
  <c r="I121" i="7" s="1"/>
  <c r="H62" i="7"/>
  <c r="I125" i="7" s="1"/>
  <c r="H66" i="7"/>
  <c r="F114" i="7" s="1"/>
  <c r="D9" i="9" s="1"/>
  <c r="H70" i="7"/>
  <c r="F118" i="7" s="1"/>
  <c r="H74" i="7"/>
  <c r="F122" i="7" s="1"/>
  <c r="H78" i="7"/>
  <c r="J111" i="7" s="1"/>
  <c r="H82" i="7"/>
  <c r="J115" i="7" s="1"/>
  <c r="H86" i="7"/>
  <c r="J119" i="7" s="1"/>
  <c r="H12" i="9" s="1"/>
  <c r="H90" i="7"/>
  <c r="J123" i="7" s="1"/>
  <c r="H5" i="7"/>
  <c r="D113" i="7" s="1"/>
  <c r="B8" i="9" s="1"/>
  <c r="H37" i="7"/>
  <c r="E115" i="7" s="1"/>
  <c r="I6" i="7"/>
  <c r="D137" i="7" s="1"/>
  <c r="I10" i="7"/>
  <c r="D141" i="7" s="1"/>
  <c r="I14" i="7"/>
  <c r="D145" i="7" s="1"/>
  <c r="I18" i="7"/>
  <c r="H134" i="7" s="1"/>
  <c r="I22" i="7"/>
  <c r="H138" i="7" s="1"/>
  <c r="I26" i="7"/>
  <c r="H142" i="7" s="1"/>
  <c r="I30" i="7"/>
  <c r="H146" i="7" s="1"/>
  <c r="I34" i="7"/>
  <c r="E135" i="7" s="1"/>
  <c r="I38" i="7"/>
  <c r="E139" i="7" s="1"/>
  <c r="I42" i="7"/>
  <c r="E143" i="7" s="1"/>
  <c r="I46" i="7"/>
  <c r="E147" i="7" s="1"/>
  <c r="I50" i="7"/>
  <c r="I136" i="7" s="1"/>
  <c r="G23" i="9" s="1"/>
  <c r="I54" i="7"/>
  <c r="I140" i="7" s="1"/>
  <c r="I58" i="7"/>
  <c r="I144" i="7" s="1"/>
  <c r="I62" i="7"/>
  <c r="I148" i="7" s="1"/>
  <c r="I66" i="7"/>
  <c r="F137" i="7" s="1"/>
  <c r="D24" i="9" s="1"/>
  <c r="I70" i="7"/>
  <c r="F141" i="7" s="1"/>
  <c r="I74" i="7"/>
  <c r="F145" i="7" s="1"/>
  <c r="I78" i="7"/>
  <c r="J134" i="7" s="1"/>
  <c r="I82" i="7"/>
  <c r="J138" i="7" s="1"/>
  <c r="I86" i="7"/>
  <c r="J142" i="7" s="1"/>
  <c r="H27" i="9" s="1"/>
  <c r="I90" i="7"/>
  <c r="J146" i="7" s="1"/>
  <c r="H29" i="7"/>
  <c r="H122" i="7" s="1"/>
  <c r="J6" i="7"/>
  <c r="D182" i="7" s="1"/>
  <c r="B54" i="9" s="1"/>
  <c r="J10" i="7"/>
  <c r="D186" i="7" s="1"/>
  <c r="J14" i="7"/>
  <c r="D190" i="7" s="1"/>
  <c r="J18" i="7"/>
  <c r="H179" i="7" s="1"/>
  <c r="J22" i="7"/>
  <c r="H183" i="7" s="1"/>
  <c r="J26" i="7"/>
  <c r="H187" i="7" s="1"/>
  <c r="F57" i="9" s="1"/>
  <c r="J30" i="7"/>
  <c r="H191" i="7" s="1"/>
  <c r="J34" i="7"/>
  <c r="E180" i="7" s="1"/>
  <c r="J38" i="7"/>
  <c r="E184" i="7" s="1"/>
  <c r="J42" i="7"/>
  <c r="E188" i="7" s="1"/>
  <c r="J46" i="7"/>
  <c r="E192" i="7" s="1"/>
  <c r="J50" i="7"/>
  <c r="I181" i="7" s="1"/>
  <c r="G53" i="9" s="1"/>
  <c r="J54" i="7"/>
  <c r="I185" i="7" s="1"/>
  <c r="J58" i="7"/>
  <c r="I189" i="7" s="1"/>
  <c r="J62" i="7"/>
  <c r="I193" i="7" s="1"/>
  <c r="J66" i="7"/>
  <c r="F182" i="7" s="1"/>
  <c r="D54" i="9" s="1"/>
  <c r="J70" i="7"/>
  <c r="F186" i="7" s="1"/>
  <c r="J74" i="7"/>
  <c r="F190" i="7" s="1"/>
  <c r="J78" i="7"/>
  <c r="J179" i="7" s="1"/>
  <c r="J82" i="7"/>
  <c r="J183" i="7" s="1"/>
  <c r="J86" i="7"/>
  <c r="J187" i="7" s="1"/>
  <c r="H57" i="9" s="1"/>
  <c r="J90" i="7"/>
  <c r="J191" i="7" s="1"/>
  <c r="K14" i="7"/>
  <c r="D168" i="7" s="1"/>
  <c r="K18" i="7"/>
  <c r="H157" i="7" s="1"/>
  <c r="K22" i="7"/>
  <c r="H161" i="7" s="1"/>
  <c r="K26" i="7"/>
  <c r="H165" i="7" s="1"/>
  <c r="F42" i="9" s="1"/>
  <c r="K30" i="7"/>
  <c r="H169" i="7" s="1"/>
  <c r="L169" i="7" s="1"/>
  <c r="K34" i="7"/>
  <c r="E158" i="7" s="1"/>
  <c r="K38" i="7"/>
  <c r="E162" i="7" s="1"/>
  <c r="K42" i="7"/>
  <c r="E166" i="7" s="1"/>
  <c r="K46" i="7"/>
  <c r="E170" i="7" s="1"/>
  <c r="K50" i="7"/>
  <c r="I159" i="7" s="1"/>
  <c r="G38" i="9" s="1"/>
  <c r="K54" i="7"/>
  <c r="I163" i="7" s="1"/>
  <c r="K58" i="7"/>
  <c r="I167" i="7" s="1"/>
  <c r="K62" i="7"/>
  <c r="I171" i="7" s="1"/>
  <c r="K66" i="7"/>
  <c r="F160" i="7" s="1"/>
  <c r="D39" i="9" s="1"/>
  <c r="K70" i="7"/>
  <c r="F164" i="7" s="1"/>
  <c r="K74" i="7"/>
  <c r="F168" i="7" s="1"/>
  <c r="K78" i="7"/>
  <c r="J157" i="7" s="1"/>
  <c r="K82" i="7"/>
  <c r="J161" i="7" s="1"/>
  <c r="K86" i="7"/>
  <c r="J165" i="7" s="1"/>
  <c r="H42" i="9" s="1"/>
  <c r="K90" i="7"/>
  <c r="J169" i="7" s="1"/>
  <c r="H9" i="7"/>
  <c r="D117" i="7" s="1"/>
  <c r="H73" i="7"/>
  <c r="F121" i="7" s="1"/>
  <c r="H3" i="7"/>
  <c r="H7" i="7"/>
  <c r="D115" i="7" s="1"/>
  <c r="H11" i="7"/>
  <c r="D119" i="7" s="1"/>
  <c r="B12" i="9" s="1"/>
  <c r="H15" i="7"/>
  <c r="D123" i="7" s="1"/>
  <c r="H19" i="7"/>
  <c r="H112" i="7" s="1"/>
  <c r="H23" i="7"/>
  <c r="H116" i="7" s="1"/>
  <c r="H27" i="7"/>
  <c r="H120" i="7" s="1"/>
  <c r="H31" i="7"/>
  <c r="H124" i="7" s="1"/>
  <c r="H35" i="7"/>
  <c r="E113" i="7" s="1"/>
  <c r="H39" i="7"/>
  <c r="E117" i="7" s="1"/>
  <c r="H43" i="7"/>
  <c r="E121" i="7" s="1"/>
  <c r="H47" i="7"/>
  <c r="E125" i="7" s="1"/>
  <c r="H51" i="7"/>
  <c r="I114" i="7" s="1"/>
  <c r="G9" i="9" s="1"/>
  <c r="H55" i="7"/>
  <c r="I118" i="7" s="1"/>
  <c r="H59" i="7"/>
  <c r="I122" i="7" s="1"/>
  <c r="H63" i="7"/>
  <c r="F111" i="7" s="1"/>
  <c r="H67" i="7"/>
  <c r="F115" i="7" s="1"/>
  <c r="H71" i="7"/>
  <c r="F119" i="7" s="1"/>
  <c r="D12" i="9" s="1"/>
  <c r="H75" i="7"/>
  <c r="F123" i="7" s="1"/>
  <c r="H79" i="7"/>
  <c r="J112" i="7" s="1"/>
  <c r="H83" i="7"/>
  <c r="J116" i="7" s="1"/>
  <c r="H87" i="7"/>
  <c r="J120" i="7" s="1"/>
  <c r="H91" i="7"/>
  <c r="J124" i="7" s="1"/>
  <c r="I3" i="7"/>
  <c r="D134" i="7" s="1"/>
  <c r="I7" i="7"/>
  <c r="D138" i="7" s="1"/>
  <c r="I11" i="7"/>
  <c r="D142" i="7" s="1"/>
  <c r="I15" i="7"/>
  <c r="D146" i="7" s="1"/>
  <c r="I19" i="7"/>
  <c r="H135" i="7" s="1"/>
  <c r="I23" i="7"/>
  <c r="H139" i="7" s="1"/>
  <c r="I27" i="7"/>
  <c r="H143" i="7" s="1"/>
  <c r="I31" i="7"/>
  <c r="H147" i="7" s="1"/>
  <c r="I35" i="7"/>
  <c r="E136" i="7" s="1"/>
  <c r="C23" i="9" s="1"/>
  <c r="I39" i="7"/>
  <c r="E140" i="7" s="1"/>
  <c r="I43" i="7"/>
  <c r="E144" i="7" s="1"/>
  <c r="I47" i="7"/>
  <c r="E148" i="7" s="1"/>
  <c r="I51" i="7"/>
  <c r="I137" i="7" s="1"/>
  <c r="G24" i="9" s="1"/>
  <c r="I55" i="7"/>
  <c r="I141" i="7" s="1"/>
  <c r="I59" i="7"/>
  <c r="I145" i="7" s="1"/>
  <c r="I63" i="7"/>
  <c r="F134" i="7" s="1"/>
  <c r="I67" i="7"/>
  <c r="F138" i="7" s="1"/>
  <c r="I71" i="7"/>
  <c r="F142" i="7" s="1"/>
  <c r="D27" i="9" s="1"/>
  <c r="I75" i="7"/>
  <c r="F146" i="7" s="1"/>
  <c r="I79" i="7"/>
  <c r="J135" i="7" s="1"/>
  <c r="I83" i="7"/>
  <c r="J139" i="7" s="1"/>
  <c r="I87" i="7"/>
  <c r="J143" i="7" s="1"/>
  <c r="I91" i="7"/>
  <c r="J147" i="7" s="1"/>
  <c r="H13" i="7"/>
  <c r="D121" i="7" s="1"/>
  <c r="H53" i="7"/>
  <c r="I116" i="7" s="1"/>
  <c r="J3" i="7"/>
  <c r="D179" i="7" s="1"/>
  <c r="J7" i="7"/>
  <c r="D183" i="7" s="1"/>
  <c r="J11" i="7"/>
  <c r="D187" i="7" s="1"/>
  <c r="J15" i="7"/>
  <c r="D191" i="7" s="1"/>
  <c r="J19" i="7"/>
  <c r="H180" i="7" s="1"/>
  <c r="J23" i="7"/>
  <c r="H184" i="7" s="1"/>
  <c r="J27" i="7"/>
  <c r="H188" i="7" s="1"/>
  <c r="J31" i="7"/>
  <c r="H192" i="7" s="1"/>
  <c r="J35" i="7"/>
  <c r="E181" i="7" s="1"/>
  <c r="C53" i="9" s="1"/>
  <c r="J39" i="7"/>
  <c r="E185" i="7" s="1"/>
  <c r="J43" i="7"/>
  <c r="E189" i="7" s="1"/>
  <c r="J47" i="7"/>
  <c r="E193" i="7" s="1"/>
  <c r="J51" i="7"/>
  <c r="I182" i="7" s="1"/>
  <c r="G54" i="9" s="1"/>
  <c r="J55" i="7"/>
  <c r="I186" i="7" s="1"/>
  <c r="J59" i="7"/>
  <c r="I190" i="7" s="1"/>
  <c r="J63" i="7"/>
  <c r="F179" i="7" s="1"/>
  <c r="J67" i="7"/>
  <c r="F183" i="7" s="1"/>
  <c r="J71" i="7"/>
  <c r="F187" i="7" s="1"/>
  <c r="J75" i="7"/>
  <c r="F191" i="7" s="1"/>
  <c r="J79" i="7"/>
  <c r="J180" i="7" s="1"/>
  <c r="J83" i="7"/>
  <c r="J184" i="7" s="1"/>
  <c r="J87" i="7"/>
  <c r="J188" i="7" s="1"/>
  <c r="J91" i="7"/>
  <c r="J192" i="7" s="1"/>
  <c r="H33" i="7"/>
  <c r="E111" i="7" s="1"/>
  <c r="K23" i="7"/>
  <c r="H162" i="7" s="1"/>
  <c r="K27" i="7"/>
  <c r="H166" i="7" s="1"/>
  <c r="L166" i="7" s="1"/>
  <c r="K31" i="7"/>
  <c r="H170" i="7" s="1"/>
  <c r="K35" i="7"/>
  <c r="E159" i="7" s="1"/>
  <c r="C38" i="9" s="1"/>
  <c r="K39" i="7"/>
  <c r="E163" i="7" s="1"/>
  <c r="K43" i="7"/>
  <c r="E167" i="7" s="1"/>
  <c r="K47" i="7"/>
  <c r="E171" i="7" s="1"/>
  <c r="K51" i="7"/>
  <c r="I160" i="7" s="1"/>
  <c r="G39" i="9" s="1"/>
  <c r="K55" i="7"/>
  <c r="I164" i="7" s="1"/>
  <c r="K59" i="7"/>
  <c r="I168" i="7" s="1"/>
  <c r="K63" i="7"/>
  <c r="F157" i="7" s="1"/>
  <c r="K67" i="7"/>
  <c r="F161" i="7" s="1"/>
  <c r="K71" i="7"/>
  <c r="F165" i="7" s="1"/>
  <c r="D42" i="9" s="1"/>
  <c r="K75" i="7"/>
  <c r="F169" i="7" s="1"/>
  <c r="K79" i="7"/>
  <c r="J158" i="7" s="1"/>
  <c r="K83" i="7"/>
  <c r="J162" i="7" s="1"/>
  <c r="K87" i="7"/>
  <c r="J166" i="7" s="1"/>
  <c r="K91" i="7"/>
  <c r="J170" i="7" s="1"/>
  <c r="H65" i="7"/>
  <c r="F113" i="7" s="1"/>
  <c r="D8" i="9" s="1"/>
  <c r="H4" i="7"/>
  <c r="D112" i="7" s="1"/>
  <c r="H8" i="7"/>
  <c r="D116" i="7" s="1"/>
  <c r="H12" i="7"/>
  <c r="D120" i="7" s="1"/>
  <c r="H16" i="7"/>
  <c r="D124" i="7" s="1"/>
  <c r="H20" i="7"/>
  <c r="H113" i="7" s="1"/>
  <c r="F8" i="9" s="1"/>
  <c r="H24" i="7"/>
  <c r="H117" i="7" s="1"/>
  <c r="H28" i="7"/>
  <c r="H121" i="7" s="1"/>
  <c r="H32" i="7"/>
  <c r="H125" i="7" s="1"/>
  <c r="H36" i="7"/>
  <c r="E114" i="7" s="1"/>
  <c r="C9" i="9" s="1"/>
  <c r="H40" i="7"/>
  <c r="E118" i="7" s="1"/>
  <c r="H44" i="7"/>
  <c r="E122" i="7" s="1"/>
  <c r="H48" i="7"/>
  <c r="I111" i="7" s="1"/>
  <c r="H52" i="7"/>
  <c r="I115" i="7" s="1"/>
  <c r="H56" i="7"/>
  <c r="I119" i="7" s="1"/>
  <c r="G12" i="9" s="1"/>
  <c r="H60" i="7"/>
  <c r="I123" i="7" s="1"/>
  <c r="H64" i="7"/>
  <c r="F112" i="7" s="1"/>
  <c r="H68" i="7"/>
  <c r="F116" i="7" s="1"/>
  <c r="H72" i="7"/>
  <c r="F120" i="7" s="1"/>
  <c r="H76" i="7"/>
  <c r="F124" i="7" s="1"/>
  <c r="H80" i="7"/>
  <c r="J113" i="7" s="1"/>
  <c r="H8" i="9" s="1"/>
  <c r="H84" i="7"/>
  <c r="J117" i="7" s="1"/>
  <c r="H88" i="7"/>
  <c r="J121" i="7" s="1"/>
  <c r="H92" i="7"/>
  <c r="J125" i="7" s="1"/>
  <c r="H69" i="7"/>
  <c r="F117" i="7" s="1"/>
  <c r="I4" i="7"/>
  <c r="D135" i="7" s="1"/>
  <c r="I8" i="7"/>
  <c r="D139" i="7" s="1"/>
  <c r="I12" i="7"/>
  <c r="D143" i="7" s="1"/>
  <c r="I16" i="7"/>
  <c r="D147" i="7" s="1"/>
  <c r="I20" i="7"/>
  <c r="H136" i="7" s="1"/>
  <c r="I24" i="7"/>
  <c r="H140" i="7" s="1"/>
  <c r="I28" i="7"/>
  <c r="H144" i="7" s="1"/>
  <c r="I32" i="7"/>
  <c r="H148" i="7" s="1"/>
  <c r="I36" i="7"/>
  <c r="E137" i="7" s="1"/>
  <c r="C24" i="9" s="1"/>
  <c r="I40" i="7"/>
  <c r="E141" i="7" s="1"/>
  <c r="I44" i="7"/>
  <c r="E145" i="7" s="1"/>
  <c r="I48" i="7"/>
  <c r="I134" i="7" s="1"/>
  <c r="I52" i="7"/>
  <c r="I138" i="7" s="1"/>
  <c r="I56" i="7"/>
  <c r="I142" i="7" s="1"/>
  <c r="G27" i="9" s="1"/>
  <c r="I60" i="7"/>
  <c r="I146" i="7" s="1"/>
  <c r="I64" i="7"/>
  <c r="F135" i="7" s="1"/>
  <c r="I68" i="7"/>
  <c r="F139" i="7" s="1"/>
  <c r="I72" i="7"/>
  <c r="F143" i="7" s="1"/>
  <c r="I76" i="7"/>
  <c r="F147" i="7" s="1"/>
  <c r="I80" i="7"/>
  <c r="J136" i="7" s="1"/>
  <c r="H23" i="9" s="1"/>
  <c r="I84" i="7"/>
  <c r="J140" i="7" s="1"/>
  <c r="I88" i="7"/>
  <c r="J144" i="7" s="1"/>
  <c r="I92" i="7"/>
  <c r="J148" i="7" s="1"/>
  <c r="H17" i="7"/>
  <c r="D125" i="7" s="1"/>
  <c r="H61" i="7"/>
  <c r="I124" i="7" s="1"/>
  <c r="J4" i="7"/>
  <c r="D180" i="7" s="1"/>
  <c r="J8" i="7"/>
  <c r="D184" i="7" s="1"/>
  <c r="J12" i="7"/>
  <c r="D188" i="7" s="1"/>
  <c r="J16" i="7"/>
  <c r="D192" i="7" s="1"/>
  <c r="J20" i="7"/>
  <c r="H181" i="7" s="1"/>
  <c r="F53" i="9" s="1"/>
  <c r="J24" i="7"/>
  <c r="H185" i="7" s="1"/>
  <c r="J28" i="7"/>
  <c r="H189" i="7" s="1"/>
  <c r="J32" i="7"/>
  <c r="H193" i="7" s="1"/>
  <c r="J36" i="7"/>
  <c r="E182" i="7" s="1"/>
  <c r="C54" i="9" s="1"/>
  <c r="J40" i="7"/>
  <c r="E186" i="7" s="1"/>
  <c r="J44" i="7"/>
  <c r="E190" i="7" s="1"/>
  <c r="J48" i="7"/>
  <c r="I179" i="7" s="1"/>
  <c r="J52" i="7"/>
  <c r="I183" i="7" s="1"/>
  <c r="J56" i="7"/>
  <c r="I187" i="7" s="1"/>
  <c r="G57" i="9" s="1"/>
  <c r="J60" i="7"/>
  <c r="I191" i="7" s="1"/>
  <c r="J64" i="7"/>
  <c r="F180" i="7" s="1"/>
  <c r="J68" i="7"/>
  <c r="F184" i="7" s="1"/>
  <c r="J72" i="7"/>
  <c r="F188" i="7" s="1"/>
  <c r="J76" i="7"/>
  <c r="F192" i="7" s="1"/>
  <c r="J80" i="7"/>
  <c r="J181" i="7" s="1"/>
  <c r="H53" i="9" s="1"/>
  <c r="J84" i="7"/>
  <c r="J185" i="7" s="1"/>
  <c r="J88" i="7"/>
  <c r="J189" i="7" s="1"/>
  <c r="J92" i="7"/>
  <c r="J193" i="7" s="1"/>
  <c r="K24" i="7"/>
  <c r="H163" i="7" s="1"/>
  <c r="K28" i="7"/>
  <c r="H167" i="7" s="1"/>
  <c r="K32" i="7"/>
  <c r="H171" i="7" s="1"/>
  <c r="L171" i="7" s="1"/>
  <c r="K36" i="7"/>
  <c r="E160" i="7" s="1"/>
  <c r="C39" i="9" s="1"/>
  <c r="K40" i="7"/>
  <c r="E164" i="7" s="1"/>
  <c r="K44" i="7"/>
  <c r="E168" i="7" s="1"/>
  <c r="K48" i="7"/>
  <c r="I157" i="7" s="1"/>
  <c r="K52" i="7"/>
  <c r="I161" i="7" s="1"/>
  <c r="K56" i="7"/>
  <c r="I165" i="7" s="1"/>
  <c r="G42" i="9" s="1"/>
  <c r="K60" i="7"/>
  <c r="I169" i="7" s="1"/>
  <c r="K64" i="7"/>
  <c r="F158" i="7" s="1"/>
  <c r="K68" i="7"/>
  <c r="F162" i="7" s="1"/>
  <c r="K72" i="7"/>
  <c r="F166" i="7" s="1"/>
  <c r="K76" i="7"/>
  <c r="F170" i="7" s="1"/>
  <c r="K80" i="7"/>
  <c r="J159" i="7" s="1"/>
  <c r="H38" i="9" s="1"/>
  <c r="K84" i="7"/>
  <c r="J163" i="7" s="1"/>
  <c r="K88" i="7"/>
  <c r="J167" i="7" s="1"/>
  <c r="L170" i="7" l="1"/>
  <c r="L159" i="7"/>
  <c r="L115" i="7"/>
  <c r="N148" i="7"/>
  <c r="F56" i="9"/>
  <c r="N111" i="7"/>
  <c r="F37" i="9"/>
  <c r="K135" i="7"/>
  <c r="K140" i="7"/>
  <c r="K143" i="7"/>
  <c r="K148" i="7"/>
  <c r="G146" i="7"/>
  <c r="G138" i="7"/>
  <c r="G147" i="7"/>
  <c r="G143" i="7"/>
  <c r="H149" i="7"/>
  <c r="K134" i="7"/>
  <c r="J149" i="7"/>
  <c r="G145" i="7"/>
  <c r="I149" i="7"/>
  <c r="K147" i="7"/>
  <c r="G141" i="7"/>
  <c r="B24" i="9"/>
  <c r="E24" i="9" s="1"/>
  <c r="G137" i="7"/>
  <c r="K139" i="7"/>
  <c r="K144" i="7"/>
  <c r="B27" i="9"/>
  <c r="E27" i="9" s="1"/>
  <c r="G142" i="7"/>
  <c r="K145" i="7"/>
  <c r="F23" i="9"/>
  <c r="I23" i="9" s="1"/>
  <c r="K136" i="7"/>
  <c r="G134" i="7"/>
  <c r="K141" i="7"/>
  <c r="F24" i="9"/>
  <c r="I24" i="9" s="1"/>
  <c r="K137" i="7"/>
  <c r="G148" i="7"/>
  <c r="G144" i="7"/>
  <c r="G139" i="7"/>
  <c r="G135" i="7"/>
  <c r="K146" i="7"/>
  <c r="G140" i="7"/>
  <c r="F27" i="9"/>
  <c r="I27" i="9" s="1"/>
  <c r="K142" i="7"/>
  <c r="B23" i="9"/>
  <c r="G136" i="7"/>
  <c r="K138" i="7"/>
  <c r="N157" i="7"/>
  <c r="M135" i="7"/>
  <c r="N191" i="7"/>
  <c r="L186" i="7"/>
  <c r="M136" i="7"/>
  <c r="L141" i="7"/>
  <c r="M158" i="7"/>
  <c r="N171" i="7"/>
  <c r="L190" i="7"/>
  <c r="N147" i="7"/>
  <c r="L158" i="7"/>
  <c r="N160" i="7"/>
  <c r="I53" i="9"/>
  <c r="G55" i="9"/>
  <c r="F26" i="9"/>
  <c r="M161" i="7"/>
  <c r="L143" i="7"/>
  <c r="N168" i="7"/>
  <c r="N163" i="7"/>
  <c r="M116" i="7"/>
  <c r="L38" i="9"/>
  <c r="M112" i="7"/>
  <c r="H40" i="9"/>
  <c r="H37" i="9"/>
  <c r="H28" i="9"/>
  <c r="K53" i="9"/>
  <c r="I8" i="9"/>
  <c r="E38" i="9"/>
  <c r="K54" i="9"/>
  <c r="B40" i="9"/>
  <c r="N145" i="7"/>
  <c r="M146" i="7"/>
  <c r="L54" i="9"/>
  <c r="L122" i="7"/>
  <c r="L164" i="7"/>
  <c r="B26" i="9"/>
  <c r="G25" i="9"/>
  <c r="M144" i="7"/>
  <c r="M170" i="7"/>
  <c r="D26" i="9"/>
  <c r="N186" i="7"/>
  <c r="M142" i="7"/>
  <c r="M171" i="7"/>
  <c r="L145" i="7"/>
  <c r="L162" i="7"/>
  <c r="E39" i="9"/>
  <c r="B56" i="9"/>
  <c r="N141" i="7"/>
  <c r="N146" i="7"/>
  <c r="N182" i="7"/>
  <c r="H41" i="9"/>
  <c r="L39" i="9"/>
  <c r="M159" i="7"/>
  <c r="L42" i="9"/>
  <c r="H11" i="9"/>
  <c r="K39" i="9"/>
  <c r="M162" i="7"/>
  <c r="G40" i="9"/>
  <c r="M191" i="7"/>
  <c r="N124" i="7"/>
  <c r="L120" i="7"/>
  <c r="B13" i="9"/>
  <c r="M192" i="7"/>
  <c r="D41" i="9"/>
  <c r="M125" i="7"/>
  <c r="L24" i="9"/>
  <c r="M164" i="7"/>
  <c r="N164" i="7"/>
  <c r="B41" i="9"/>
  <c r="N166" i="7"/>
  <c r="N161" i="7"/>
  <c r="D40" i="9"/>
  <c r="H52" i="9"/>
  <c r="E42" i="9"/>
  <c r="L160" i="7"/>
  <c r="D37" i="9"/>
  <c r="M143" i="7"/>
  <c r="C40" i="9"/>
  <c r="K42" i="9"/>
  <c r="L163" i="7"/>
  <c r="N162" i="7"/>
  <c r="L182" i="7"/>
  <c r="G22" i="9"/>
  <c r="N125" i="7"/>
  <c r="F13" i="9"/>
  <c r="N116" i="7"/>
  <c r="G41" i="9"/>
  <c r="C37" i="9"/>
  <c r="K38" i="9"/>
  <c r="L114" i="7"/>
  <c r="H13" i="9"/>
  <c r="F11" i="9"/>
  <c r="B52" i="9"/>
  <c r="M148" i="7"/>
  <c r="L137" i="7"/>
  <c r="B10" i="9"/>
  <c r="I38" i="9"/>
  <c r="G37" i="9"/>
  <c r="K23" i="9"/>
  <c r="N167" i="7"/>
  <c r="M163" i="7"/>
  <c r="C41" i="9"/>
  <c r="D7" i="9"/>
  <c r="I42" i="9"/>
  <c r="M188" i="7"/>
  <c r="I39" i="9"/>
  <c r="M186" i="7"/>
  <c r="N170" i="7"/>
  <c r="F40" i="9"/>
  <c r="J42" i="9"/>
  <c r="F41" i="9"/>
  <c r="C7" i="9"/>
  <c r="G7" i="9"/>
  <c r="B25" i="9"/>
  <c r="M122" i="7"/>
  <c r="G26" i="9"/>
  <c r="F10" i="9"/>
  <c r="C22" i="9"/>
  <c r="J38" i="9"/>
  <c r="M185" i="7"/>
  <c r="C56" i="9"/>
  <c r="G10" i="9"/>
  <c r="C13" i="9"/>
  <c r="J8" i="9"/>
  <c r="D56" i="9"/>
  <c r="E53" i="9"/>
  <c r="J53" i="9"/>
  <c r="K27" i="9"/>
  <c r="N179" i="7"/>
  <c r="N121" i="7"/>
  <c r="I57" i="9"/>
  <c r="G28" i="9"/>
  <c r="I12" i="9"/>
  <c r="L53" i="9"/>
  <c r="C25" i="9"/>
  <c r="L121" i="7"/>
  <c r="L27" i="9"/>
  <c r="C11" i="9"/>
  <c r="N189" i="7"/>
  <c r="H58" i="9"/>
  <c r="H43" i="9"/>
  <c r="D25" i="9"/>
  <c r="B22" i="9"/>
  <c r="M113" i="7"/>
  <c r="C8" i="9"/>
  <c r="K8" i="9" s="1"/>
  <c r="F55" i="9"/>
  <c r="L148" i="7"/>
  <c r="M189" i="7"/>
  <c r="C58" i="9"/>
  <c r="C43" i="9"/>
  <c r="N134" i="7"/>
  <c r="D22" i="9"/>
  <c r="L124" i="7"/>
  <c r="H55" i="9"/>
  <c r="F52" i="9"/>
  <c r="F7" i="9"/>
  <c r="H7" i="9"/>
  <c r="F58" i="9"/>
  <c r="F43" i="9"/>
  <c r="N185" i="7"/>
  <c r="H56" i="9"/>
  <c r="K9" i="9"/>
  <c r="N143" i="7"/>
  <c r="L188" i="7"/>
  <c r="D11" i="9"/>
  <c r="L187" i="7"/>
  <c r="B57" i="9"/>
  <c r="E54" i="9"/>
  <c r="J54" i="9"/>
  <c r="E9" i="9"/>
  <c r="J9" i="9"/>
  <c r="D55" i="9"/>
  <c r="L9" i="9"/>
  <c r="K12" i="9"/>
  <c r="K57" i="9"/>
  <c r="B28" i="9"/>
  <c r="D52" i="9"/>
  <c r="H10" i="9"/>
  <c r="C28" i="9"/>
  <c r="J12" i="9"/>
  <c r="E12" i="9"/>
  <c r="C55" i="9"/>
  <c r="D28" i="9"/>
  <c r="L183" i="7"/>
  <c r="B55" i="9"/>
  <c r="K24" i="9"/>
  <c r="M140" i="7"/>
  <c r="C26" i="9"/>
  <c r="L12" i="9"/>
  <c r="G58" i="9"/>
  <c r="G43" i="9"/>
  <c r="G13" i="9"/>
  <c r="C52" i="9"/>
  <c r="G56" i="9"/>
  <c r="F25" i="9"/>
  <c r="G11" i="9"/>
  <c r="L23" i="9"/>
  <c r="M183" i="7"/>
  <c r="N115" i="7"/>
  <c r="D10" i="9"/>
  <c r="L144" i="7"/>
  <c r="F28" i="9"/>
  <c r="D13" i="9"/>
  <c r="H25" i="9"/>
  <c r="F22" i="9"/>
  <c r="H22" i="9"/>
  <c r="I54" i="9"/>
  <c r="N187" i="7"/>
  <c r="D57" i="9"/>
  <c r="L57" i="9" s="1"/>
  <c r="M179" i="7"/>
  <c r="G52" i="9"/>
  <c r="L117" i="7"/>
  <c r="B11" i="9"/>
  <c r="N123" i="7"/>
  <c r="L189" i="7"/>
  <c r="N140" i="7"/>
  <c r="H26" i="9"/>
  <c r="L8" i="9"/>
  <c r="B58" i="9"/>
  <c r="B43" i="9"/>
  <c r="I9" i="9"/>
  <c r="C10" i="9"/>
  <c r="D58" i="9"/>
  <c r="D43" i="9"/>
  <c r="M139" i="7"/>
  <c r="L139" i="7"/>
  <c r="N136" i="7"/>
  <c r="N118" i="7"/>
  <c r="N139" i="7"/>
  <c r="N192" i="7"/>
  <c r="L180" i="7"/>
  <c r="L192" i="7"/>
  <c r="M145" i="7"/>
  <c r="N183" i="7"/>
  <c r="E126" i="7"/>
  <c r="N184" i="7"/>
  <c r="L191" i="7"/>
  <c r="M111" i="7"/>
  <c r="N120" i="7"/>
  <c r="L134" i="7"/>
  <c r="M115" i="7"/>
  <c r="N158" i="7"/>
  <c r="N159" i="7"/>
  <c r="N188" i="7"/>
  <c r="M147" i="7"/>
  <c r="M168" i="7"/>
  <c r="M138" i="7"/>
  <c r="F172" i="7"/>
  <c r="M120" i="7"/>
  <c r="E149" i="7"/>
  <c r="L118" i="7"/>
  <c r="L185" i="7"/>
  <c r="H194" i="7"/>
  <c r="M167" i="7"/>
  <c r="M121" i="7"/>
  <c r="L168" i="7"/>
  <c r="L184" i="7"/>
  <c r="N165" i="7"/>
  <c r="L181" i="7"/>
  <c r="L136" i="7"/>
  <c r="M137" i="7"/>
  <c r="M193" i="7"/>
  <c r="L112" i="7"/>
  <c r="M160" i="7"/>
  <c r="M114" i="7"/>
  <c r="N181" i="7"/>
  <c r="N138" i="7"/>
  <c r="M118" i="7"/>
  <c r="L193" i="7"/>
  <c r="H126" i="7"/>
  <c r="L113" i="7"/>
  <c r="L119" i="7"/>
  <c r="M124" i="7"/>
  <c r="E194" i="7"/>
  <c r="M181" i="7"/>
  <c r="N169" i="7"/>
  <c r="M182" i="7"/>
  <c r="M141" i="7"/>
  <c r="M184" i="7"/>
  <c r="L167" i="7"/>
  <c r="L140" i="7"/>
  <c r="M119" i="7"/>
  <c r="H94" i="7"/>
  <c r="N137" i="7"/>
  <c r="N114" i="7"/>
  <c r="M190" i="7"/>
  <c r="M187" i="7"/>
  <c r="L116" i="7"/>
  <c r="L123" i="7"/>
  <c r="N180" i="7"/>
  <c r="L147" i="7"/>
  <c r="N112" i="7"/>
  <c r="M117" i="7"/>
  <c r="L161" i="7"/>
  <c r="L135" i="7"/>
  <c r="N113" i="7"/>
  <c r="N135" i="7"/>
  <c r="M166" i="7"/>
  <c r="M157" i="7"/>
  <c r="M165" i="7"/>
  <c r="L138" i="7"/>
  <c r="I126" i="7"/>
  <c r="E172" i="7"/>
  <c r="L165" i="7"/>
  <c r="F126" i="7"/>
  <c r="L142" i="7"/>
  <c r="M134" i="7"/>
  <c r="I172" i="7"/>
  <c r="H172" i="7"/>
  <c r="M169" i="7"/>
  <c r="L125" i="7"/>
  <c r="L146" i="7"/>
  <c r="M123" i="7"/>
  <c r="I194" i="7"/>
  <c r="N117" i="7"/>
  <c r="F149" i="7"/>
  <c r="J194" i="7"/>
  <c r="N190" i="7"/>
  <c r="N193" i="7"/>
  <c r="J94" i="7"/>
  <c r="F194" i="7"/>
  <c r="I94" i="7"/>
  <c r="D149" i="7"/>
  <c r="D111" i="7"/>
  <c r="B7" i="9" s="1"/>
  <c r="N119" i="7"/>
  <c r="J126" i="7"/>
  <c r="D157" i="7"/>
  <c r="B37" i="9" s="1"/>
  <c r="K94" i="7"/>
  <c r="N142" i="7"/>
  <c r="M180" i="7"/>
  <c r="N122" i="7"/>
  <c r="N144" i="7"/>
  <c r="J172" i="7"/>
  <c r="D194" i="7"/>
  <c r="L179" i="7"/>
  <c r="J56" i="9" l="1"/>
  <c r="J24" i="9"/>
  <c r="M24" i="9" s="1"/>
  <c r="O136" i="7"/>
  <c r="J27" i="9"/>
  <c r="M27" i="9" s="1"/>
  <c r="O137" i="7"/>
  <c r="J23" i="9"/>
  <c r="M23" i="9" s="1"/>
  <c r="O144" i="7"/>
  <c r="O140" i="7"/>
  <c r="O146" i="7"/>
  <c r="O135" i="7"/>
  <c r="O143" i="7"/>
  <c r="O139" i="7"/>
  <c r="N149" i="7"/>
  <c r="L149" i="7"/>
  <c r="O134" i="7"/>
  <c r="E23" i="9"/>
  <c r="O147" i="7"/>
  <c r="O142" i="7"/>
  <c r="O145" i="7"/>
  <c r="O141" i="7"/>
  <c r="M149" i="7"/>
  <c r="O138" i="7"/>
  <c r="O148" i="7"/>
  <c r="K149" i="7"/>
  <c r="G149" i="7"/>
  <c r="K55" i="9"/>
  <c r="J26" i="9"/>
  <c r="H44" i="9"/>
  <c r="M39" i="9"/>
  <c r="J41" i="9"/>
  <c r="L37" i="9"/>
  <c r="L28" i="9"/>
  <c r="I37" i="9"/>
  <c r="L40" i="9"/>
  <c r="I40" i="9"/>
  <c r="I28" i="9"/>
  <c r="K25" i="9"/>
  <c r="I11" i="9"/>
  <c r="J10" i="9"/>
  <c r="J13" i="9"/>
  <c r="K22" i="9"/>
  <c r="J25" i="9"/>
  <c r="M54" i="9"/>
  <c r="K40" i="9"/>
  <c r="K11" i="9"/>
  <c r="K26" i="9"/>
  <c r="L11" i="9"/>
  <c r="E56" i="9"/>
  <c r="K37" i="9"/>
  <c r="L7" i="9"/>
  <c r="L13" i="9"/>
  <c r="G29" i="9"/>
  <c r="G44" i="9"/>
  <c r="L41" i="9"/>
  <c r="N172" i="7"/>
  <c r="K7" i="9"/>
  <c r="G59" i="9"/>
  <c r="M42" i="9"/>
  <c r="M53" i="9"/>
  <c r="H59" i="9"/>
  <c r="I56" i="9"/>
  <c r="M12" i="9"/>
  <c r="I41" i="9"/>
  <c r="D14" i="9"/>
  <c r="K28" i="9"/>
  <c r="I26" i="9"/>
  <c r="G14" i="9"/>
  <c r="I10" i="9"/>
  <c r="J40" i="9"/>
  <c r="E26" i="9"/>
  <c r="M38" i="9"/>
  <c r="K10" i="9"/>
  <c r="K41" i="9"/>
  <c r="L25" i="9"/>
  <c r="E41" i="9"/>
  <c r="M172" i="7"/>
  <c r="E37" i="9"/>
  <c r="J37" i="9"/>
  <c r="E40" i="9"/>
  <c r="D29" i="9"/>
  <c r="L22" i="9"/>
  <c r="K43" i="9"/>
  <c r="C44" i="9"/>
  <c r="E10" i="9"/>
  <c r="J28" i="9"/>
  <c r="E28" i="9"/>
  <c r="K58" i="9"/>
  <c r="E13" i="9"/>
  <c r="E25" i="9"/>
  <c r="L56" i="9"/>
  <c r="E8" i="9"/>
  <c r="J7" i="9"/>
  <c r="B14" i="9"/>
  <c r="E7" i="9"/>
  <c r="E58" i="9"/>
  <c r="J58" i="9"/>
  <c r="M8" i="9"/>
  <c r="J43" i="9"/>
  <c r="E43" i="9"/>
  <c r="B44" i="9"/>
  <c r="H29" i="9"/>
  <c r="L55" i="9"/>
  <c r="I43" i="9"/>
  <c r="F44" i="9"/>
  <c r="C29" i="9"/>
  <c r="K13" i="9"/>
  <c r="L43" i="9"/>
  <c r="D44" i="9"/>
  <c r="I22" i="9"/>
  <c r="F29" i="9"/>
  <c r="J55" i="9"/>
  <c r="E55" i="9"/>
  <c r="I58" i="9"/>
  <c r="I25" i="9"/>
  <c r="M9" i="9"/>
  <c r="H14" i="9"/>
  <c r="I55" i="9"/>
  <c r="C14" i="9"/>
  <c r="F14" i="9"/>
  <c r="I7" i="9"/>
  <c r="F59" i="9"/>
  <c r="I52" i="9"/>
  <c r="B29" i="9"/>
  <c r="E22" i="9"/>
  <c r="J22" i="9"/>
  <c r="K52" i="9"/>
  <c r="C59" i="9"/>
  <c r="I13" i="9"/>
  <c r="K56" i="9"/>
  <c r="J11" i="9"/>
  <c r="E11" i="9"/>
  <c r="E57" i="9"/>
  <c r="J57" i="9"/>
  <c r="M57" i="9" s="1"/>
  <c r="L26" i="9"/>
  <c r="E52" i="9"/>
  <c r="B59" i="9"/>
  <c r="L52" i="9"/>
  <c r="D59" i="9"/>
  <c r="L58" i="9"/>
  <c r="L10" i="9"/>
  <c r="J52" i="9"/>
  <c r="M126" i="7"/>
  <c r="L194" i="7"/>
  <c r="N126" i="7"/>
  <c r="M194" i="7"/>
  <c r="N194" i="7"/>
  <c r="L111" i="7"/>
  <c r="L126" i="7" s="1"/>
  <c r="D172" i="7"/>
  <c r="L157" i="7"/>
  <c r="L172" i="7" s="1"/>
  <c r="D126" i="7"/>
  <c r="Q140" i="7" l="1"/>
  <c r="Q138" i="7"/>
  <c r="Q134" i="7"/>
  <c r="O149" i="7"/>
  <c r="I44" i="9"/>
  <c r="M26" i="9"/>
  <c r="K29" i="9"/>
  <c r="L29" i="9"/>
  <c r="M10" i="9"/>
  <c r="I29" i="9"/>
  <c r="E14" i="9"/>
  <c r="I59" i="9"/>
  <c r="M25" i="9"/>
  <c r="K14" i="9"/>
  <c r="M40" i="9"/>
  <c r="M11" i="9"/>
  <c r="M41" i="9"/>
  <c r="I14" i="9"/>
  <c r="E29" i="9"/>
  <c r="M37" i="9"/>
  <c r="L44" i="9"/>
  <c r="M56" i="9"/>
  <c r="M28" i="9"/>
  <c r="M13" i="9"/>
  <c r="M55" i="9"/>
  <c r="K44" i="9"/>
  <c r="L59" i="9"/>
  <c r="E59" i="9"/>
  <c r="L14" i="9"/>
  <c r="M7" i="9"/>
  <c r="J14" i="9"/>
  <c r="M58" i="9"/>
  <c r="E44" i="9"/>
  <c r="K59" i="9"/>
  <c r="M43" i="9"/>
  <c r="J44" i="9"/>
  <c r="J59" i="9"/>
  <c r="M52" i="9"/>
  <c r="J29" i="9"/>
  <c r="M22" i="9"/>
  <c r="M29" i="9" l="1"/>
  <c r="M59" i="9"/>
  <c r="M44" i="9"/>
  <c r="I45" i="9"/>
  <c r="M14" i="9"/>
  <c r="M15" i="9" s="1"/>
  <c r="E45" i="9"/>
  <c r="M45" i="9" l="1"/>
  <c r="E15" i="9"/>
  <c r="I15" i="9"/>
  <c r="D4" i="6" l="1"/>
  <c r="D5" i="6" s="1"/>
  <c r="D6" i="6" s="1"/>
  <c r="D7" i="6" s="1"/>
  <c r="D8" i="6" s="1"/>
  <c r="D10" i="6" s="1"/>
  <c r="D11" i="6" s="1"/>
  <c r="D12" i="6" s="1"/>
  <c r="D13" i="6" s="1"/>
  <c r="D14" i="6" s="1"/>
  <c r="D15" i="6" s="1"/>
  <c r="D16" i="6" s="1"/>
  <c r="Y2" i="7" l="1"/>
  <c r="Y3" i="7"/>
  <c r="Y4" i="7"/>
  <c r="Y1" i="7"/>
  <c r="AB2" i="7" l="1"/>
  <c r="E30" i="9" s="1"/>
  <c r="Y5" i="7"/>
  <c r="AB1" i="7"/>
  <c r="I30" i="9" s="1"/>
  <c r="M30" i="9" l="1"/>
  <c r="AB3" i="7"/>
  <c r="AB4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rls</author>
  </authors>
  <commentList>
    <comment ref="AP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Verifica que la información ingresada corresponda a los códigos señalados en la Tabla N° 07.
Sólo si en el campo </t>
        </r>
        <r>
          <rPr>
            <b/>
            <sz val="8"/>
            <color indexed="81"/>
            <rFont val="Tahoma"/>
            <family val="2"/>
          </rPr>
          <t>SIST_REM se informa 61 ó 80</t>
        </r>
        <r>
          <rPr>
            <sz val="8"/>
            <color indexed="81"/>
            <rFont val="Tahoma"/>
            <family val="2"/>
          </rPr>
          <t>,  se debe informar “INDEF” o “PFIJO”.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<sst xmlns="http://schemas.openxmlformats.org/spreadsheetml/2006/main" count="8365" uniqueCount="1685">
  <si>
    <t>TIPO_INFO</t>
  </si>
  <si>
    <t>ID_SERV</t>
  </si>
  <si>
    <t>RUN</t>
  </si>
  <si>
    <t>DV</t>
  </si>
  <si>
    <t>MES</t>
  </si>
  <si>
    <t>PRIMER_DIA</t>
  </si>
  <si>
    <t>N_DIAS</t>
  </si>
  <si>
    <t>TIPO_LM</t>
  </si>
  <si>
    <t>ESTADO_RES</t>
  </si>
  <si>
    <t>REEMPLAZO</t>
  </si>
  <si>
    <t>09</t>
  </si>
  <si>
    <t>N</t>
  </si>
  <si>
    <t>PENDIENTE</t>
  </si>
  <si>
    <t>06</t>
  </si>
  <si>
    <t>07</t>
  </si>
  <si>
    <t>08</t>
  </si>
  <si>
    <t>03</t>
  </si>
  <si>
    <t>04</t>
  </si>
  <si>
    <t>01</t>
  </si>
  <si>
    <t>S</t>
  </si>
  <si>
    <t>05</t>
  </si>
  <si>
    <t>02</t>
  </si>
  <si>
    <t>130601</t>
  </si>
  <si>
    <t>AUTORIZADO</t>
  </si>
  <si>
    <t>REDUCIDO</t>
  </si>
  <si>
    <t>RECHAZADO</t>
  </si>
  <si>
    <t>Pendiente</t>
  </si>
  <si>
    <t>080401</t>
  </si>
  <si>
    <t>080701</t>
  </si>
  <si>
    <t>081501</t>
  </si>
  <si>
    <t>080301</t>
  </si>
  <si>
    <t>080501</t>
  </si>
  <si>
    <t>NO</t>
  </si>
  <si>
    <t>050501</t>
  </si>
  <si>
    <t>050502</t>
  </si>
  <si>
    <t>SERVICIO ELECTORAL</t>
  </si>
  <si>
    <t>Autorizado</t>
  </si>
  <si>
    <t>Reducido</t>
  </si>
  <si>
    <t>Rechazado</t>
  </si>
  <si>
    <t>130101</t>
  </si>
  <si>
    <t>081701</t>
  </si>
  <si>
    <t>120501</t>
  </si>
  <si>
    <t>120101</t>
  </si>
  <si>
    <t>050701</t>
  </si>
  <si>
    <t>130201</t>
  </si>
  <si>
    <t>Fórmula
VALOR
DV</t>
  </si>
  <si>
    <t>Validar DV</t>
  </si>
  <si>
    <t>FECHA INICIO</t>
  </si>
  <si>
    <t>CODIGO</t>
  </si>
  <si>
    <t>MINISTERIO</t>
  </si>
  <si>
    <t>NOMBRE SERVICIO</t>
  </si>
  <si>
    <t>NOMBRE PROGRAMA</t>
  </si>
  <si>
    <t>010101</t>
  </si>
  <si>
    <t>020101</t>
  </si>
  <si>
    <t>CONGRESO NACIONAL</t>
  </si>
  <si>
    <t>020201</t>
  </si>
  <si>
    <t>020301</t>
  </si>
  <si>
    <t>020401</t>
  </si>
  <si>
    <t>030101</t>
  </si>
  <si>
    <t>PODER JUDICIAL</t>
  </si>
  <si>
    <t>030301</t>
  </si>
  <si>
    <t>030401</t>
  </si>
  <si>
    <t>040101</t>
  </si>
  <si>
    <t>050201</t>
  </si>
  <si>
    <t>050401</t>
  </si>
  <si>
    <t>050503</t>
  </si>
  <si>
    <t>060101</t>
  </si>
  <si>
    <t>MINISTERIO DE RELACIONES EXTERIORES</t>
  </si>
  <si>
    <t>060301</t>
  </si>
  <si>
    <t>060401</t>
  </si>
  <si>
    <t>060501</t>
  </si>
  <si>
    <t>070101</t>
  </si>
  <si>
    <t>070107</t>
  </si>
  <si>
    <t>070201</t>
  </si>
  <si>
    <t>070301</t>
  </si>
  <si>
    <t>070401</t>
  </si>
  <si>
    <t>070601</t>
  </si>
  <si>
    <t>070701</t>
  </si>
  <si>
    <t>070801</t>
  </si>
  <si>
    <t>070901</t>
  </si>
  <si>
    <t>071601</t>
  </si>
  <si>
    <t>071901</t>
  </si>
  <si>
    <t>072101</t>
  </si>
  <si>
    <t>072301</t>
  </si>
  <si>
    <t>072401</t>
  </si>
  <si>
    <t>080101</t>
  </si>
  <si>
    <t>MINISTERIO DE HACIENDA</t>
  </si>
  <si>
    <t>080106</t>
  </si>
  <si>
    <t>080201</t>
  </si>
  <si>
    <t>081601</t>
  </si>
  <si>
    <t>083001</t>
  </si>
  <si>
    <t>090103</t>
  </si>
  <si>
    <t>090104</t>
  </si>
  <si>
    <t>090111</t>
  </si>
  <si>
    <t>090120</t>
  </si>
  <si>
    <t>090121</t>
  </si>
  <si>
    <t>090901</t>
  </si>
  <si>
    <t>090902</t>
  </si>
  <si>
    <t>090903</t>
  </si>
  <si>
    <t>091101</t>
  </si>
  <si>
    <t>091102</t>
  </si>
  <si>
    <t>091301</t>
  </si>
  <si>
    <t>091501</t>
  </si>
  <si>
    <t>100101</t>
  </si>
  <si>
    <t>100102</t>
  </si>
  <si>
    <t>100201</t>
  </si>
  <si>
    <t>100301</t>
  </si>
  <si>
    <t>100401</t>
  </si>
  <si>
    <t>100402</t>
  </si>
  <si>
    <t>100701</t>
  </si>
  <si>
    <t>100702</t>
  </si>
  <si>
    <t>100901</t>
  </si>
  <si>
    <t>MINISTERIO DE DEFENSA NACIONAL</t>
  </si>
  <si>
    <t>111801</t>
  </si>
  <si>
    <t>111901</t>
  </si>
  <si>
    <t>112001</t>
  </si>
  <si>
    <t>112101</t>
  </si>
  <si>
    <t>112201</t>
  </si>
  <si>
    <t>112301</t>
  </si>
  <si>
    <t>112401</t>
  </si>
  <si>
    <t>112501</t>
  </si>
  <si>
    <t>120202</t>
  </si>
  <si>
    <t>120203</t>
  </si>
  <si>
    <t>120204</t>
  </si>
  <si>
    <t>120206</t>
  </si>
  <si>
    <t>120207</t>
  </si>
  <si>
    <t>120211</t>
  </si>
  <si>
    <t>120212</t>
  </si>
  <si>
    <t>120401</t>
  </si>
  <si>
    <t>120701</t>
  </si>
  <si>
    <t>MINISTERIO DE AGRICULTURA</t>
  </si>
  <si>
    <t>130102</t>
  </si>
  <si>
    <t>130301</t>
  </si>
  <si>
    <t>130401</t>
  </si>
  <si>
    <t>130404</t>
  </si>
  <si>
    <t>130405</t>
  </si>
  <si>
    <t>130406</t>
  </si>
  <si>
    <t>130407</t>
  </si>
  <si>
    <t>130501</t>
  </si>
  <si>
    <t>130503</t>
  </si>
  <si>
    <t>130504</t>
  </si>
  <si>
    <t>130505</t>
  </si>
  <si>
    <t>140101</t>
  </si>
  <si>
    <t>MINISTERIO DE BIENES NACIONALES</t>
  </si>
  <si>
    <t>150101</t>
  </si>
  <si>
    <t>150103</t>
  </si>
  <si>
    <t>150201</t>
  </si>
  <si>
    <t>150301</t>
  </si>
  <si>
    <t>150401</t>
  </si>
  <si>
    <t>150501</t>
  </si>
  <si>
    <t>150601</t>
  </si>
  <si>
    <t>150701</t>
  </si>
  <si>
    <t>150901</t>
  </si>
  <si>
    <t>151001</t>
  </si>
  <si>
    <t>151301</t>
  </si>
  <si>
    <t>151302</t>
  </si>
  <si>
    <t>151401</t>
  </si>
  <si>
    <t>160201</t>
  </si>
  <si>
    <t>MINISTERIO DE SALUD</t>
  </si>
  <si>
    <t>160202</t>
  </si>
  <si>
    <t>160204</t>
  </si>
  <si>
    <t>160401</t>
  </si>
  <si>
    <t>160501</t>
  </si>
  <si>
    <t>160901</t>
  </si>
  <si>
    <t>161001</t>
  </si>
  <si>
    <t>161002</t>
  </si>
  <si>
    <t>161101</t>
  </si>
  <si>
    <t>162001</t>
  </si>
  <si>
    <t>162101</t>
  </si>
  <si>
    <t>162201</t>
  </si>
  <si>
    <t>162301</t>
  </si>
  <si>
    <t>162401</t>
  </si>
  <si>
    <t>162501</t>
  </si>
  <si>
    <t>162601</t>
  </si>
  <si>
    <t>162701</t>
  </si>
  <si>
    <t>162801</t>
  </si>
  <si>
    <t>162901</t>
  </si>
  <si>
    <t>163001</t>
  </si>
  <si>
    <t>163101</t>
  </si>
  <si>
    <t>163201</t>
  </si>
  <si>
    <t>163301</t>
  </si>
  <si>
    <t>163401</t>
  </si>
  <si>
    <t>163501</t>
  </si>
  <si>
    <t>163601</t>
  </si>
  <si>
    <t>163701</t>
  </si>
  <si>
    <t>163801</t>
  </si>
  <si>
    <t>163901</t>
  </si>
  <si>
    <t>164001</t>
  </si>
  <si>
    <t>164101</t>
  </si>
  <si>
    <t>164201</t>
  </si>
  <si>
    <t>164301</t>
  </si>
  <si>
    <t>164401</t>
  </si>
  <si>
    <t>164501</t>
  </si>
  <si>
    <t>164601</t>
  </si>
  <si>
    <t>164701</t>
  </si>
  <si>
    <t>164901</t>
  </si>
  <si>
    <t>165101</t>
  </si>
  <si>
    <t>165201</t>
  </si>
  <si>
    <t>165301</t>
  </si>
  <si>
    <t>170101</t>
  </si>
  <si>
    <t>170102</t>
  </si>
  <si>
    <t>170201</t>
  </si>
  <si>
    <t>170301</t>
  </si>
  <si>
    <t>170302</t>
  </si>
  <si>
    <t>170303</t>
  </si>
  <si>
    <t>170304</t>
  </si>
  <si>
    <t>180101</t>
  </si>
  <si>
    <t>MINISTERIO DE VIVIENDA Y URBANISMO</t>
  </si>
  <si>
    <t>180102</t>
  </si>
  <si>
    <t>180104</t>
  </si>
  <si>
    <t>180201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</si>
  <si>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</si>
  <si>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</si>
  <si>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</si>
  <si>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</si>
  <si>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</si>
  <si>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</si>
  <si>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</si>
  <si>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</si>
  <si>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</si>
  <si>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</si>
  <si>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</si>
  <si>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</si>
  <si>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</si>
  <si>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</si>
  <si>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</si>
  <si>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</si>
  <si>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</si>
  <si>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190103</t>
  </si>
  <si>
    <t>190104</t>
  </si>
  <si>
    <t>190105</t>
  </si>
  <si>
    <t>190106</t>
  </si>
  <si>
    <t>190107</t>
  </si>
  <si>
    <t>190108</t>
  </si>
  <si>
    <t>190201</t>
  </si>
  <si>
    <t>190301</t>
  </si>
  <si>
    <t>200101</t>
  </si>
  <si>
    <t>200201</t>
  </si>
  <si>
    <t>210201</t>
  </si>
  <si>
    <t>210501</t>
  </si>
  <si>
    <t>210601</t>
  </si>
  <si>
    <t>210701</t>
  </si>
  <si>
    <t>210801</t>
  </si>
  <si>
    <t>220101</t>
  </si>
  <si>
    <t>230101</t>
  </si>
  <si>
    <t>240101</t>
  </si>
  <si>
    <t>240103</t>
  </si>
  <si>
    <t>240104</t>
  </si>
  <si>
    <t>240201</t>
  </si>
  <si>
    <t>240301</t>
  </si>
  <si>
    <t>240401</t>
  </si>
  <si>
    <t>250101</t>
  </si>
  <si>
    <t>MINISTERIO DEL MEDIO AMBIENTE</t>
  </si>
  <si>
    <t>250201</t>
  </si>
  <si>
    <t>250301</t>
  </si>
  <si>
    <t>TABLA DE CONVERSIÓN MATRIZ LICENCIAS MÉDICAS PRESENTADAS (ARCHIVO L)</t>
  </si>
  <si>
    <t>Mes en que fue realizada</t>
  </si>
  <si>
    <t>Descripción</t>
  </si>
  <si>
    <t>Código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</si>
  <si>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</si>
  <si>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</si>
  <si>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</si>
  <si>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</si>
  <si>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</si>
  <si>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</si>
  <si>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</si>
  <si>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</si>
  <si>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</si>
  <si>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</si>
  <si>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10</t>
  </si>
  <si>
    <t>Noviembre</t>
  </si>
  <si>
    <t>11</t>
  </si>
  <si>
    <t>Diciembre</t>
  </si>
  <si>
    <t>12</t>
  </si>
  <si>
    <t>Tipos Licencia Médica</t>
  </si>
  <si>
    <t>Enfermedad o Accidente Común</t>
  </si>
  <si>
    <t>Prorroga Medicina Preventiva</t>
  </si>
  <si>
    <t>Licencia Maternal Pre y Post Natal</t>
  </si>
  <si>
    <t>Enfermedad grave hijo menor de un año</t>
  </si>
  <si>
    <t>Patología del Embarazo</t>
  </si>
  <si>
    <t>SI/NO</t>
  </si>
  <si>
    <t>SI</t>
  </si>
  <si>
    <t>Estado Resolución</t>
  </si>
  <si>
    <t>PRIMER-DIA</t>
  </si>
  <si>
    <t>FECHA TERMINO</t>
  </si>
  <si>
    <t>TABLA N°09</t>
  </si>
  <si>
    <t>REVISIÓN RUN</t>
  </si>
  <si>
    <t>PRESIDENCIA DE LA REPÚBLICA</t>
  </si>
  <si>
    <t>Presidencia de la República</t>
  </si>
  <si>
    <t>Senado</t>
  </si>
  <si>
    <t>Cámara de Diputados</t>
  </si>
  <si>
    <t>Biblioteca del Congreso</t>
  </si>
  <si>
    <t>Consejo Resolutivo de Asignaciones Parlamentarias</t>
  </si>
  <si>
    <t>Poder Judicial</t>
  </si>
  <si>
    <t>Corporación Administrativa del Poder Judicial</t>
  </si>
  <si>
    <t>Academia Judicial</t>
  </si>
  <si>
    <t>CONTRALORÍA GENERAL DE LA REPÚBLICA</t>
  </si>
  <si>
    <t>Contraloría General de la República</t>
  </si>
  <si>
    <t>Red de Conectividad del Estado</t>
  </si>
  <si>
    <t>Fondo Social</t>
  </si>
  <si>
    <t>Servicio de Gobierno Interior</t>
  </si>
  <si>
    <t>Servicio Electoral</t>
  </si>
  <si>
    <t>Fortalecimiento de la Gestión Subnacional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</si>
  <si>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</si>
  <si>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</si>
  <si>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</si>
  <si>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</si>
  <si>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</si>
  <si>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</si>
  <si>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053101</t>
  </si>
  <si>
    <t>Carabineros de Chile</t>
  </si>
  <si>
    <t>053201</t>
  </si>
  <si>
    <t>Hospital de Carabineros</t>
  </si>
  <si>
    <t>053301</t>
  </si>
  <si>
    <t>Policía de Investigaciones de Chile</t>
  </si>
  <si>
    <t>Gobierno Regional Región Metropolitana de Santiago</t>
  </si>
  <si>
    <t>Secretaría y Administración General y Servicio Exterior</t>
  </si>
  <si>
    <t>Dirección de Fronteras y Límites del Estado</t>
  </si>
  <si>
    <t>Instituto Antártico Chileno</t>
  </si>
  <si>
    <t>MINISTERIO DE ECONOMÍA, FOMENTO Y TURISMO</t>
  </si>
  <si>
    <t>Subsecretaría de Economía y Empresas de Menor Tamaño</t>
  </si>
  <si>
    <t>Servicio Nacional del Consumidor</t>
  </si>
  <si>
    <t>Corporación de Fomento de la Producción</t>
  </si>
  <si>
    <t>Instituto Nacional de Estadísticas</t>
  </si>
  <si>
    <t>Fiscalía Nacional Económica</t>
  </si>
  <si>
    <t>Servicio Nacional de Turismo</t>
  </si>
  <si>
    <t>Servicio de Cooperación Técnica</t>
  </si>
  <si>
    <t>Comité Innova Chile</t>
  </si>
  <si>
    <t>Subsecretaría de Turismo</t>
  </si>
  <si>
    <t>Consejo de Auditoría Interna General de Gobierno</t>
  </si>
  <si>
    <t>Dirección de Presupuestos</t>
  </si>
  <si>
    <t>Servicio de Impuestos Internos</t>
  </si>
  <si>
    <t>Servicio Nacional de Aduanas</t>
  </si>
  <si>
    <t>Servicio de Tesorerías</t>
  </si>
  <si>
    <t>Dirección de Compras y Contratación Pública</t>
  </si>
  <si>
    <t>Dirección Nacional del Servicio Civil</t>
  </si>
  <si>
    <t>Unidad de Análisis Financiero</t>
  </si>
  <si>
    <t>Superintendencia de Casinos de Juego</t>
  </si>
  <si>
    <t>Consejo de Defensa del Estado</t>
  </si>
  <si>
    <t>MINISTERIO DE EDUCACIÓN</t>
  </si>
  <si>
    <t>Subsecretaría de Educación</t>
  </si>
  <si>
    <t>Mejoramiento de la Calidad de la Educación</t>
  </si>
  <si>
    <t>Recursos Educativos</t>
  </si>
  <si>
    <t>Subvenciones a los Establecimientos Educacionales</t>
  </si>
  <si>
    <t>Gestión de Subvenciones a Establecimientos Educacionales</t>
  </si>
  <si>
    <t>Junta Nacional de Auxilio Escolar y Becas</t>
  </si>
  <si>
    <t>Salud Escolar</t>
  </si>
  <si>
    <t>Becas y Asistencialidad Estudiantil</t>
  </si>
  <si>
    <t>Junta Nacional de Jardines Infantiles</t>
  </si>
  <si>
    <t>Consejo de Rectores</t>
  </si>
  <si>
    <t>Consejo Nacional de Educación</t>
  </si>
  <si>
    <t>Fondos Culturales y Artísticos</t>
  </si>
  <si>
    <t>Servicio Médico Legal</t>
  </si>
  <si>
    <t>Gendarmería de Chile</t>
  </si>
  <si>
    <t>Programas de Rehabilitación y Reinserción Social</t>
  </si>
  <si>
    <t>Servicio Nacional de Menores</t>
  </si>
  <si>
    <t>Programa de Administración Directa y Proyectos Nacionales</t>
  </si>
  <si>
    <t>Defensoría Penal Pública</t>
  </si>
  <si>
    <t>110101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</si>
  <si>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</si>
  <si>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</si>
  <si>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</si>
  <si>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</si>
  <si>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</si>
  <si>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</si>
  <si>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</si>
  <si>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</si>
  <si>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</si>
  <si>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</si>
  <si>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</si>
  <si>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Dirección General de Movilización Nacional</t>
  </si>
  <si>
    <t>Instituto Geográfico Militar</t>
  </si>
  <si>
    <t>Servicio Hidrográfico y Oceanográfico de la Armada de Chile</t>
  </si>
  <si>
    <t>Dirección General de Aeronáutica Civil</t>
  </si>
  <si>
    <t>Subsecretaría para las Fuerzas Armadas</t>
  </si>
  <si>
    <t>Subsecretaría de Defensa</t>
  </si>
  <si>
    <t>Estado Mayor Conjunto</t>
  </si>
  <si>
    <t>MINISTERIO DE OBRAS PÚBLICAS</t>
  </si>
  <si>
    <t>Dirección General de Obras Públicas</t>
  </si>
  <si>
    <t>Dirección de Contabilidad y Finanzas</t>
  </si>
  <si>
    <t>Dirección de Arquitectura</t>
  </si>
  <si>
    <t>Dirección de Obras Hidráulicas</t>
  </si>
  <si>
    <t>Dirección de Vialidad</t>
  </si>
  <si>
    <t>Dirección de Obras Portuarias</t>
  </si>
  <si>
    <t>Dirección de Aeropuertos</t>
  </si>
  <si>
    <t>Dirección de Planeamiento</t>
  </si>
  <si>
    <t>Dirección General de Aguas</t>
  </si>
  <si>
    <t>Instituto Nacional de Hidráulica</t>
  </si>
  <si>
    <t>Superintendencia de Servicios Sanitarios</t>
  </si>
  <si>
    <t>Subsecretaría de Agricultura</t>
  </si>
  <si>
    <t>Investigación e Innovación Tecnológica Silvoagropecuaria</t>
  </si>
  <si>
    <t>Oficina de Estudios y Políticas Agrarias</t>
  </si>
  <si>
    <t>Servicio Agrícola y Ganadero</t>
  </si>
  <si>
    <t>Inspecciones Exportaciones Silvoagropecuarias</t>
  </si>
  <si>
    <t>Programa Desarrollo Ganadero</t>
  </si>
  <si>
    <t>Vigilancia y Control Silvoagrícola</t>
  </si>
  <si>
    <t>Programa de Controles Fronterizos</t>
  </si>
  <si>
    <t>130408</t>
  </si>
  <si>
    <t>Programa Gestión y Conservación de Recursos Naturales Renovables</t>
  </si>
  <si>
    <t>Corporación Nacional Forestal</t>
  </si>
  <si>
    <t>Programa de Manejo del Fuego</t>
  </si>
  <si>
    <t>Áreas Silvestres Protegidas</t>
  </si>
  <si>
    <t>Gestión Forestal</t>
  </si>
  <si>
    <t>130506</t>
  </si>
  <si>
    <t>Programa de Arborización Urbana</t>
  </si>
  <si>
    <t>Comisión Nacional de Riego</t>
  </si>
  <si>
    <t>Subsecretaría de Bienes Nacionales</t>
  </si>
  <si>
    <t>Subsecretaría del Trabajo</t>
  </si>
  <si>
    <t>Proempleo</t>
  </si>
  <si>
    <t>Dirección del Trabajo</t>
  </si>
  <si>
    <t>Dirección General de Crédito Prendario</t>
  </si>
  <si>
    <t>Servicio Nacional de Capacitación y Empleo</t>
  </si>
  <si>
    <t>Superintendencia de Seguridad Social</t>
  </si>
  <si>
    <t>Superintendencia de Pensiones</t>
  </si>
  <si>
    <t>Instituto de Seguridad Laboral</t>
  </si>
  <si>
    <t>Fondo de Medicina Curativa</t>
  </si>
  <si>
    <t>Dirección de Previsión de Carabineros de Chile</t>
  </si>
  <si>
    <t>Fondo Nacional de Salud</t>
  </si>
  <si>
    <t>Programa de Atención Primaria</t>
  </si>
  <si>
    <t>Programa de Prestaciones Institucionales</t>
  </si>
  <si>
    <t>Instituto de Salud Pública de Chile</t>
  </si>
  <si>
    <t>Subsecretaría de Salud Pública</t>
  </si>
  <si>
    <t>Subsecretaría de Redes Asistenciales</t>
  </si>
  <si>
    <t>Inversión Sectorial de Salud</t>
  </si>
  <si>
    <t>Superintendencia de Salud</t>
  </si>
  <si>
    <t>Servicio de Salud Antofagasta</t>
  </si>
  <si>
    <t>Servicio de Salud Atacama</t>
  </si>
  <si>
    <t>Servicio de Salud Coquimbo</t>
  </si>
  <si>
    <t>Servicio de Salud Viña del Mar - Quillota</t>
  </si>
  <si>
    <t>Servicio de Salud Aconcagua</t>
  </si>
  <si>
    <t>Servicio de Salud Maule</t>
  </si>
  <si>
    <t>Servicio de Salud Ñuble</t>
  </si>
  <si>
    <t>Servicio de Salud Concepción</t>
  </si>
  <si>
    <t>Servicio de Salud Talcahuano</t>
  </si>
  <si>
    <t>Servicio de Salud Arauco</t>
  </si>
  <si>
    <t>Servicio de Salud Araucanía Norte</t>
  </si>
  <si>
    <t>Servicio de Salud Araucanía Sur</t>
  </si>
  <si>
    <t>Servicio de Salud Osorno</t>
  </si>
  <si>
    <t>Servicio de Salud del Reloncaví</t>
  </si>
  <si>
    <t>Servicio de Salud Magallanes</t>
  </si>
  <si>
    <t>Servicio de Salud Metropolitano Oriente</t>
  </si>
  <si>
    <t>Servicio de Salud Metropolitano Central</t>
  </si>
  <si>
    <t>Servicio de Salud Metropolitano Sur</t>
  </si>
  <si>
    <t>Servicio de Salud Metropolitano Norte</t>
  </si>
  <si>
    <t>Servicio de Salud Metropolitano Occidente</t>
  </si>
  <si>
    <t>Programa Contingencias Operacionales</t>
  </si>
  <si>
    <t>Centro de Referencia de Salud de Peñalolén Cordillera Oriente</t>
  </si>
  <si>
    <t>Servicio de Salud Chiloé</t>
  </si>
  <si>
    <t>MINISTERIO DE MINERÍA</t>
  </si>
  <si>
    <t>Fomento de la Pequeña y Mediana Minería</t>
  </si>
  <si>
    <t>Comisión Chilena del Cobre</t>
  </si>
  <si>
    <t>Servicio Nacional de Geología y Minería</t>
  </si>
  <si>
    <t>Red Nacional de Vigilancia Volcánica</t>
  </si>
  <si>
    <t>Plan Nacional de Geología</t>
  </si>
  <si>
    <t>Programa de Seguridad Minera</t>
  </si>
  <si>
    <t>Subsecretaría de Vivienda y Urbanismo</t>
  </si>
  <si>
    <t>Recuperación de Barrios</t>
  </si>
  <si>
    <t>Parque Metropolitano</t>
  </si>
  <si>
    <t>Secretaría y Administración General de Transportes</t>
  </si>
  <si>
    <t>Unidad Operativa de Control de Tránsito</t>
  </si>
  <si>
    <t>Programa de Desarrollo Logístico</t>
  </si>
  <si>
    <t>Programa de Vialidad y Transporte Urbano: Sectra</t>
  </si>
  <si>
    <t>Subsecretaría de Telecomunicaciones</t>
  </si>
  <si>
    <t>Junta de Aeronáutica Civil</t>
  </si>
  <si>
    <t>MINISTERIO SECRETARÍA GENERAL DE GOBIERNO</t>
  </si>
  <si>
    <t>Secretaría General de Gobierno</t>
  </si>
  <si>
    <t>Consejo Nacional de Televisión</t>
  </si>
  <si>
    <t>Instituto Nacional de Deportes</t>
  </si>
  <si>
    <t>Instituto Nacional de la Juventud</t>
  </si>
  <si>
    <t>Corporación Nacional de Desarrollo Indígena</t>
  </si>
  <si>
    <t>Servicio Nacional de la Discapacidad</t>
  </si>
  <si>
    <t>Servicio Nacional del Adulto Mayor</t>
  </si>
  <si>
    <t>MINISTERIO SECRETARÍA GENERAL DE LA PRESIDENCIA DE LA REPÚBLICA</t>
  </si>
  <si>
    <t>Secretaría General de la Presidencia de la República</t>
  </si>
  <si>
    <t>220104</t>
  </si>
  <si>
    <t>MINISTERIO PÚBLICO</t>
  </si>
  <si>
    <t>Ministerio Público</t>
  </si>
  <si>
    <t>MINISTERIO DE ENERGÍA</t>
  </si>
  <si>
    <t>Subsecretaría de Energía</t>
  </si>
  <si>
    <t>Programa Energización Rural y Social</t>
  </si>
  <si>
    <t>Comisión Nacional de Energía</t>
  </si>
  <si>
    <t>Comisión Chilena de Energía Nuclear</t>
  </si>
  <si>
    <t>Superintendencia de Electricidad y Combustibles</t>
  </si>
  <si>
    <t>Subsecretaría del Medio Ambiente</t>
  </si>
  <si>
    <t>Servicio de Evaluación Ambiental</t>
  </si>
  <si>
    <t>Superintendencia del Medio Ambiente</t>
  </si>
  <si>
    <t>NOMBRES</t>
  </si>
  <si>
    <t>051002</t>
  </si>
  <si>
    <t>051003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</si>
  <si>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</si>
  <si>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</si>
  <si>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</si>
  <si>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</si>
  <si>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</si>
  <si>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C_JURIDICA</t>
  </si>
  <si>
    <t>TABLA N°07</t>
  </si>
  <si>
    <t>Personal que se desempeña en un cargo de planta, como titular, suplente o subrogante</t>
  </si>
  <si>
    <t>PLANTA</t>
  </si>
  <si>
    <t>Personal que desempeña un cargo a contrata</t>
  </si>
  <si>
    <t>CONTRATA</t>
  </si>
  <si>
    <t>Personal contratado como Honorario asimilado a grado</t>
  </si>
  <si>
    <t>HAG</t>
  </si>
  <si>
    <t>CT</t>
  </si>
  <si>
    <t>Personal contratado como Jornal Permanente</t>
  </si>
  <si>
    <t>JP</t>
  </si>
  <si>
    <t>Calidad Jurídica o tipo de contrato</t>
  </si>
  <si>
    <t>Personal de la dotación</t>
  </si>
  <si>
    <t>Personal afecto al código del trabajo (excluye jornales permanentes)</t>
  </si>
  <si>
    <t>Personal fuera de dotación</t>
  </si>
  <si>
    <t>Personal contratado como Jornal Transitorio.</t>
  </si>
  <si>
    <t>JORNAL</t>
  </si>
  <si>
    <t>Personal contratado sobre la base de honorarios (excluye honorarios asimilados a grado).</t>
  </si>
  <si>
    <t>HONORARIO</t>
  </si>
  <si>
    <t>Personal a contrata que no se contabiliza en la dotación efectiva, por expresa autorización en glosa presupuestaria u otra ley (incluye personal de reemplazo)</t>
  </si>
  <si>
    <t>CONTRATA_FD</t>
  </si>
  <si>
    <t>Personal afecto al Código del Trabajo que no se contabiliza en la dotación efectiva, por expresa autorización en glosa presupuestaria u otra ley.</t>
  </si>
  <si>
    <t>CT_FD</t>
  </si>
  <si>
    <t>ADSCRITO</t>
  </si>
  <si>
    <t>Vigilantes Privados, contratados en virtud de la Ley N°18.382, artículo 48.</t>
  </si>
  <si>
    <t>VIGILANTE</t>
  </si>
  <si>
    <t>Becarios de los Servicios de Salud</t>
  </si>
  <si>
    <t>BECARIOS</t>
  </si>
  <si>
    <t>Personal contratado como suplente, que no se contabiliza en la dotación</t>
  </si>
  <si>
    <t>PLANTA_FD</t>
  </si>
  <si>
    <t>210101</t>
  </si>
  <si>
    <t>210901</t>
  </si>
  <si>
    <t>090201</t>
  </si>
  <si>
    <t>090301</t>
  </si>
  <si>
    <t>Agencia de Calidad de la Educación</t>
  </si>
  <si>
    <t>TABLA N°18</t>
  </si>
  <si>
    <t>TABLA N°15</t>
  </si>
  <si>
    <t>VALIDA ID_SERV</t>
  </si>
  <si>
    <t>13</t>
  </si>
  <si>
    <t>14</t>
  </si>
  <si>
    <r>
      <t xml:space="preserve">Informar para el primer trimestre, Licencias médicas o permisos postnatal parental </t>
    </r>
    <r>
      <rPr>
        <b/>
        <sz val="9"/>
        <color rgb="FF000000"/>
        <rFont val="Calibri"/>
        <family val="2"/>
        <scheme val="minor"/>
      </rPr>
      <t>con inicio en diciembre del año anterior</t>
    </r>
    <r>
      <rPr>
        <sz val="9"/>
        <color rgb="FF000000"/>
        <rFont val="Calibri"/>
        <family val="2"/>
        <scheme val="minor"/>
      </rPr>
      <t>, cuya situación actualizada se presenta en este informe.</t>
    </r>
  </si>
  <si>
    <t>Informar los casos iniciados en el año anterior, en meses diferentes a diciembre, pero cuya duración se encontraba o encuentra vigente en algún momento entre el 1 de enero y la fecha de cierre del informe.</t>
  </si>
  <si>
    <t>SIST_REM</t>
  </si>
  <si>
    <t>ESTAMENTO</t>
  </si>
  <si>
    <t>TABLA N°04</t>
  </si>
  <si>
    <t>Sistema de Remuneraciones</t>
  </si>
  <si>
    <t>EUS D.L N°249, DE 1974.</t>
  </si>
  <si>
    <t>Ley N°19.664 (Servicios de Salud).</t>
  </si>
  <si>
    <t>Personal área salud, Ley N°15.076.</t>
  </si>
  <si>
    <t>Fiscalizadores D.L N°3.551, de 1981.</t>
  </si>
  <si>
    <t>Poder Judicial D.L N°3.058 de 1979.</t>
  </si>
  <si>
    <t>Congreso Nacional, Ley N°18.918.</t>
  </si>
  <si>
    <t>Ministerio Público, Ley N°19.640.</t>
  </si>
  <si>
    <t>Entidades D.L. N°1.953, art. 9°, de 1977.</t>
  </si>
  <si>
    <t>D.F.L. N° 29, N° 30 y N° 31, todos de 2001 (Establecimientos de Salud Experimentales).</t>
  </si>
  <si>
    <t>Escala de las FFAA y de Orden y Seguridad Pública (D.F.L. N°1/1997 y D.F.L. N°2/1968).</t>
  </si>
  <si>
    <t>Código del Trabajo.</t>
  </si>
  <si>
    <t>Honorarios a suma alzada</t>
  </si>
  <si>
    <t>TABLA N°06</t>
  </si>
  <si>
    <t>Estamento según Sistema de Remuneraciones</t>
  </si>
  <si>
    <t>Servicios afectos a EUS, DL 1953, FFAA, Código del trabajo, Poder Legislativo</t>
  </si>
  <si>
    <t>10-40-60-70</t>
  </si>
  <si>
    <t>Personal nombrado como Autoridad de Gobierno (Presidente, Ministros, Subsecretarios, Intendentes, etc.).</t>
  </si>
  <si>
    <t>AUT. DE GOB.</t>
  </si>
  <si>
    <t>Jefe Superior del Servicio informante.</t>
  </si>
  <si>
    <t>JEFE SUP. DE SERVICIO</t>
  </si>
  <si>
    <t>Personal nombrado o contratado para desempeñarse como Directivo.</t>
  </si>
  <si>
    <t>DIRECTIVO</t>
  </si>
  <si>
    <t>Personal nombrado o contratado para desempeñarse en funciones profesionales.</t>
  </si>
  <si>
    <t>PROFESIONAL</t>
  </si>
  <si>
    <t>Personal nombrado o contratado para desempeñarse en funciones técnicas.</t>
  </si>
  <si>
    <t>TÉCNICO</t>
  </si>
  <si>
    <t>Personal nombrado o contratado para desempeñarse en funciones administrativas.</t>
  </si>
  <si>
    <t>ADMINISTRATIVO</t>
  </si>
  <si>
    <t>Personal nombrado o contratado para desempeñarse en funciones auxiliares.</t>
  </si>
  <si>
    <t>AUXILIAR</t>
  </si>
  <si>
    <t>Personal afecto a leyes Nos. 15.076 y 19.664</t>
  </si>
  <si>
    <t>11-12</t>
  </si>
  <si>
    <t>Personal afecto a las leyes Nos. 15.076 y 19.664.</t>
  </si>
  <si>
    <t>PERSONAL MÉDICO</t>
  </si>
  <si>
    <t>Jefe Superior del Servicio informante (personal de la escala B-C).</t>
  </si>
  <si>
    <t>Personal de la escala B-C nombrado para desempeñarse como Directivo.</t>
  </si>
  <si>
    <t>Personal de la escala B-C nombrado o contratado para desempeñarse en funciones profesionales.</t>
  </si>
  <si>
    <t>Personal de la escala B-C nombrado o contratado para desempeñarse en funciones técnicas.</t>
  </si>
  <si>
    <t>Personal de la escala B-C nombrado o contratado para desempeñarse en funciones administrativas.</t>
  </si>
  <si>
    <t>Personal de la escala B-C nombrado o contratado para desempeñarse en funciones auxiliares.</t>
  </si>
  <si>
    <t>Profesionales funcionarios Escala A.</t>
  </si>
  <si>
    <t>Fiscalizadores</t>
  </si>
  <si>
    <t>Personal nombrado o contratado para desempeñarse en funciones fiscalizadoras.</t>
  </si>
  <si>
    <t>FISCALIZADOR</t>
  </si>
  <si>
    <t>Personal nombrado o contratado para desempeñarse en funciones de jefatura.</t>
  </si>
  <si>
    <t>JEFATURA</t>
  </si>
  <si>
    <t>Personal del Escalafón Superior.</t>
  </si>
  <si>
    <t>ESC. SUPERIOR</t>
  </si>
  <si>
    <t>Personal que se desempeña en el escalafón de Asistentes Sociales.</t>
  </si>
  <si>
    <t>ASISTENTES SOCIALES</t>
  </si>
  <si>
    <t>Personal del Escalafón de Empleados.</t>
  </si>
  <si>
    <t>ESC. EMPLEADOS</t>
  </si>
  <si>
    <t>Personal nombrado o contratado para desempeñarse como Fiscal.</t>
  </si>
  <si>
    <t>FISCAL</t>
  </si>
  <si>
    <t>Personal fuera de dotación de cualquier institución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</si>
  <si>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</si>
  <si>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</si>
  <si>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</si>
  <si>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</si>
  <si>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</si>
  <si>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</si>
  <si>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</si>
  <si>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</si>
  <si>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r>
      <rPr>
        <b/>
        <sz val="10"/>
        <color indexed="8"/>
        <rFont val="Calibri"/>
        <family val="2"/>
        <scheme val="minor"/>
      </rPr>
      <t>NOMBRE DE SERVICIO</t>
    </r>
    <r>
      <rPr>
        <b/>
        <sz val="9"/>
        <color indexed="8"/>
        <rFont val="Arial"/>
        <family val="2"/>
      </rPr>
      <t xml:space="preserve">
</t>
    </r>
    <r>
      <rPr>
        <sz val="7"/>
        <color indexed="8"/>
        <rFont val="Calibri"/>
        <family val="2"/>
        <scheme val="minor"/>
      </rPr>
      <t>(Según BD Servicios)</t>
    </r>
  </si>
  <si>
    <t>130409</t>
  </si>
  <si>
    <t>Laboratorios</t>
  </si>
  <si>
    <t>220105</t>
  </si>
  <si>
    <t>NC</t>
  </si>
  <si>
    <t>No Corresponde</t>
  </si>
  <si>
    <t>APELACIÓN</t>
  </si>
  <si>
    <t>ER_2</t>
  </si>
  <si>
    <t>DIAS_AUT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</si>
  <si>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</si>
  <si>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</si>
  <si>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</si>
  <si>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</si>
  <si>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</si>
  <si>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</si>
  <si>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</si>
  <si>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</si>
  <si>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</si>
  <si>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</si>
  <si>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</si>
  <si>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</si>
  <si>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</si>
  <si>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</si>
  <si>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</si>
  <si>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</si>
  <si>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</si>
  <si>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</si>
  <si>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SEXO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</si>
  <si>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</si>
  <si>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</si>
  <si>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</si>
  <si>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</si>
  <si>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</si>
  <si>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</si>
  <si>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</si>
  <si>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</si>
  <si>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</si>
  <si>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</si>
  <si>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</si>
  <si>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</si>
  <si>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</si>
  <si>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</si>
  <si>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</si>
  <si>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</si>
  <si>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</si>
  <si>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</si>
  <si>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</si>
  <si>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</si>
  <si>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</si>
  <si>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</si>
  <si>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</si>
  <si>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</si>
  <si>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</si>
  <si>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</si>
  <si>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</si>
  <si>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</si>
  <si>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</si>
  <si>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MATRIZ BASE</t>
  </si>
  <si>
    <t>Matriz Base</t>
  </si>
  <si>
    <t>D</t>
  </si>
  <si>
    <t>H</t>
  </si>
  <si>
    <t>C</t>
  </si>
  <si>
    <t>MATRIZ_BASE</t>
  </si>
  <si>
    <t>TABLA N°27</t>
  </si>
  <si>
    <t>Persona con un cargo en la dotación del servicio, en funciones a la fecha de corte del informe, que fue declarada en la matriz D correspondiente.</t>
  </si>
  <si>
    <t>Persona que desempeña una suplencia o reemplazo fuera de dotación, y se encuentra en funciones a la fecha de corte del informe, que fue declarada en la matriz S correspondiente.</t>
  </si>
  <si>
    <t>Persona que desempeña otro cargo fuera de dotación y se encuentra en funciones a la fecha de corte del informe, que fue declarada en la matriz H correspondiente.</t>
  </si>
  <si>
    <t>Persona que desempeñó un cargo de la dotación o fuera de dotación y que cesó durante el período informado, siendo declarada en la matriz C correspondiente</t>
  </si>
  <si>
    <t>Persona que se desempeña o desempeñó en comisión de servicio en la institución informante durante el período.</t>
  </si>
  <si>
    <t>CS</t>
  </si>
  <si>
    <t>Persona que durante el período informado guardó reserva de su cargo titular, para desempeñarse en otro cargo fuera de la institución informante, según situación a la fecha de cierre del informe.</t>
  </si>
  <si>
    <t>CR</t>
  </si>
  <si>
    <t>070600_4002</t>
  </si>
  <si>
    <t>070600_4008</t>
  </si>
  <si>
    <t>070600_4014</t>
  </si>
  <si>
    <t>070600_1400</t>
  </si>
  <si>
    <t>100601</t>
  </si>
  <si>
    <t>Subsecretaría de Derechos Humanos</t>
  </si>
  <si>
    <t>Servicio Nacional de la Mujer y la Equidad de Género</t>
  </si>
  <si>
    <t>280101</t>
  </si>
  <si>
    <t>Profesionales de la Educación, Ley N°19.070</t>
  </si>
  <si>
    <t>Asistentes de la Educación, Ley 19.464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</si>
  <si>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</si>
  <si>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</si>
  <si>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</si>
  <si>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</si>
  <si>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</si>
  <si>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</si>
  <si>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</si>
  <si>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</si>
  <si>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</si>
  <si>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</si>
  <si>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</si>
  <si>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</si>
  <si>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</si>
  <si>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</si>
  <si>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</si>
  <si>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</si>
  <si>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</si>
  <si>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</si>
  <si>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</si>
  <si>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</si>
  <si>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</si>
  <si>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</si>
  <si>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</si>
  <si>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</si>
  <si>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</si>
  <si>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</si>
  <si>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</si>
  <si>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080107</t>
  </si>
  <si>
    <t>083101</t>
  </si>
  <si>
    <t>Comisión para el Mercado Financiero</t>
  </si>
  <si>
    <t>Ley SANNA, contingencia A</t>
  </si>
  <si>
    <t>Ley SANNA, contingencia B</t>
  </si>
  <si>
    <t>Ley SANNA, contingencia C</t>
  </si>
  <si>
    <t>Ley SANNA, contingencia D</t>
  </si>
  <si>
    <t>211001</t>
  </si>
  <si>
    <t>211002</t>
  </si>
  <si>
    <t>LGN</t>
  </si>
  <si>
    <t>Personal Adscrito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</si>
  <si>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</si>
  <si>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CONTINUIDAD</t>
  </si>
  <si>
    <t>DERECHO_SUBS</t>
  </si>
  <si>
    <t>MONTO_SUBS</t>
  </si>
  <si>
    <t>ESTADO_REC</t>
  </si>
  <si>
    <t>N_DIAS_REC</t>
  </si>
  <si>
    <t>MONTO_REC</t>
  </si>
  <si>
    <t>MONTO_COT</t>
  </si>
  <si>
    <t>TABLA N°33</t>
  </si>
  <si>
    <t>Estado de recuperación de subsidios</t>
  </si>
  <si>
    <t xml:space="preserve">Descripción </t>
  </si>
  <si>
    <t>Total</t>
  </si>
  <si>
    <t>TOT</t>
  </si>
  <si>
    <t>Parcial</t>
  </si>
  <si>
    <t>PAR</t>
  </si>
  <si>
    <t xml:space="preserve">No Recupera </t>
  </si>
  <si>
    <t>SDR</t>
  </si>
  <si>
    <t>En Trámite</t>
  </si>
  <si>
    <t>PEN</t>
  </si>
  <si>
    <t>Accidente del trabajo o del trayecto (extendido por prestador salud)</t>
  </si>
  <si>
    <t>5A</t>
  </si>
  <si>
    <t>Accidente del trabajo o del trayecto (extendido por organismos administradores seguro accidentes del trabajo y enfermedades profesionales)</t>
  </si>
  <si>
    <t>5B</t>
  </si>
  <si>
    <t>Enfermedad Profesional (extendido por prestador salud)</t>
  </si>
  <si>
    <t>6A</t>
  </si>
  <si>
    <t>Enfermedad Profesional (extendido por organismos administradores seguro accidentes del trabajo y enfermedades profesionales)</t>
  </si>
  <si>
    <t>6B</t>
  </si>
  <si>
    <t>Permiso Postnatal parental</t>
  </si>
  <si>
    <r>
      <rPr>
        <b/>
        <sz val="10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 ID_SERV y pegar valores, luego copiar todo y pegar en columna ID_SERV desde la Celda 2)</t>
    </r>
  </si>
  <si>
    <t>Personal nombrado o contratado para desempeñarse en funciones profesores</t>
  </si>
  <si>
    <t>PROFESOR</t>
  </si>
  <si>
    <t>Personal nombrado o contratado para desempeñarse en funciones técnicos</t>
  </si>
  <si>
    <t xml:space="preserve">Profesor </t>
  </si>
  <si>
    <t>PROF_PED</t>
  </si>
  <si>
    <t>Tecnico</t>
  </si>
  <si>
    <t>TEC_PED</t>
  </si>
  <si>
    <t>sist_rem  Personal Jardines Infantiles (Exclusivo SLE)</t>
  </si>
  <si>
    <t>sist_rem  Asistentes de la Educación</t>
  </si>
  <si>
    <t>sist_rem  Profesionales de la Educación, Ley N°19.070</t>
  </si>
  <si>
    <t>Personal Jardines Infantiles (Exclusivo SLE)</t>
  </si>
  <si>
    <t>MINISTERIO DEL INTERIOR Y SEGURIDAD PÚBLICA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</si>
  <si>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</si>
  <si>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</si>
  <si>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</si>
  <si>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</si>
  <si>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</si>
  <si>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</si>
  <si>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</si>
  <si>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</si>
  <si>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</si>
  <si>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</si>
  <si>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</si>
  <si>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</si>
  <si>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</si>
  <si>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</si>
  <si>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060601</t>
  </si>
  <si>
    <t>060701</t>
  </si>
  <si>
    <t>Comité Desarrollo Productivo Regional de Antofagasta</t>
  </si>
  <si>
    <t>Comité Desarrollo Productivo Regional de Biobío</t>
  </si>
  <si>
    <t>Comité Desarrollo Productivo Regional de Los Rios</t>
  </si>
  <si>
    <t>Comité Agencia de Fomento de la Producción Sustentable</t>
  </si>
  <si>
    <t>Programa Censos</t>
  </si>
  <si>
    <t>072601</t>
  </si>
  <si>
    <t>Unidad Administradora de los Tribunales Tributarios y Aduaneros</t>
  </si>
  <si>
    <t>080202</t>
  </si>
  <si>
    <t>Sistema de Gestión Financiera del Estado</t>
  </si>
  <si>
    <t>099001</t>
  </si>
  <si>
    <t>099101</t>
  </si>
  <si>
    <t>Superintendencia de Educación Superior</t>
  </si>
  <si>
    <t>MINISTERIO DE JUSTICIA Y DERECHOS HUMANOS</t>
  </si>
  <si>
    <t>Dirección General del Territorio Marítimo</t>
  </si>
  <si>
    <t>120301</t>
  </si>
  <si>
    <t>Dirección General de Concesiones de Obras Públicas</t>
  </si>
  <si>
    <t>Asentamientos Precarios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</si>
  <si>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</si>
  <si>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</si>
  <si>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</si>
  <si>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</si>
  <si>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</si>
  <si>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</si>
  <si>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</si>
  <si>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</si>
  <si>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</si>
  <si>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</si>
  <si>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</si>
  <si>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</si>
  <si>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</si>
  <si>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183601</t>
  </si>
  <si>
    <t>Subsecretaría de la Niñez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</si>
  <si>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</si>
  <si>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</si>
  <si>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</si>
  <si>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</si>
  <si>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</si>
  <si>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</si>
  <si>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</si>
  <si>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</si>
  <si>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</si>
  <si>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 xml:space="preserve">Propiedad Minera </t>
  </si>
  <si>
    <t xml:space="preserve">Cierre Faenas y Gestión Ambiental </t>
  </si>
  <si>
    <t xml:space="preserve">Geología Aplicada </t>
  </si>
  <si>
    <t xml:space="preserve">Laboratorio </t>
  </si>
  <si>
    <t xml:space="preserve">Depósitos de Relaves </t>
  </si>
  <si>
    <t>170301_1</t>
  </si>
  <si>
    <t>170301_2</t>
  </si>
  <si>
    <t>170301_3</t>
  </si>
  <si>
    <t>170301_4</t>
  </si>
  <si>
    <t>170301_5</t>
  </si>
  <si>
    <t>AMPLIADO</t>
  </si>
  <si>
    <t>Ampliado</t>
  </si>
  <si>
    <t>Personal nombrado o contratado para desempeñarse como Educador de Párvulo en jardines infantiles dependientes de los SLE</t>
  </si>
  <si>
    <t>Personal nombrado o contratado para desempeñarse como técnico en párvulo en jardines infantiles dependientes de los SLE</t>
  </si>
  <si>
    <t>Personal nombrado o contratado para desempeñarse como profesionales de gestion en jardines infantiles dependientes de la JUNJI</t>
  </si>
  <si>
    <t>PROF_GESTION</t>
  </si>
  <si>
    <t>Personal nombrado o contratado para desempeñarse como profesionales encargados de supervision en jardines infantiles dependientes de la JUNJI</t>
  </si>
  <si>
    <t>PROF_SUPER</t>
  </si>
  <si>
    <t>020402</t>
  </si>
  <si>
    <t>112402</t>
  </si>
  <si>
    <t>160205</t>
  </si>
  <si>
    <t>Servicio Nacional de Geología y Minería - Propiedad Minera</t>
  </si>
  <si>
    <t xml:space="preserve">Servicio Nacional de Geología y Minería - Cierre Faenas y Gestión Ambiental </t>
  </si>
  <si>
    <t xml:space="preserve">Servicio Nacional de Geología y Minería - Geología Aplicada </t>
  </si>
  <si>
    <t xml:space="preserve">Servicio Nacional de Geología y Minería - Laboratorio </t>
  </si>
  <si>
    <t xml:space="preserve">Servicio Nacional de Geología y Minería - Depósitos de Relaves </t>
  </si>
  <si>
    <t>Laboratorio de Gobierno</t>
  </si>
  <si>
    <t>300103</t>
  </si>
  <si>
    <t>Secretaría Ejecutiva Consejo Nacional de CTCI</t>
  </si>
  <si>
    <t xml:space="preserve">Uso de licencia médica preventiva parental por causa de la enfermedad COVID-19 para efectos del cuidado del niño o niña
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</si>
  <si>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</si>
  <si>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</si>
  <si>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</si>
  <si>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</si>
  <si>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</si>
  <si>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Formación y Perfeccionamiento Policial</t>
  </si>
  <si>
    <t>053501</t>
  </si>
  <si>
    <t>Servicio Nacional de Migraciones</t>
  </si>
  <si>
    <t>080111</t>
  </si>
  <si>
    <t>210203</t>
  </si>
  <si>
    <t>210204</t>
  </si>
  <si>
    <t>211102</t>
  </si>
  <si>
    <t>290304</t>
  </si>
  <si>
    <t>Subsecretaría de Ciencia, Tecnología, Conocimiento e Innovación</t>
  </si>
  <si>
    <t>Servicio de Salud Arica y Parinacota</t>
  </si>
  <si>
    <t>Servicio de Salud Tarapacá</t>
  </si>
  <si>
    <t>Servicio de Salud Aysén</t>
  </si>
  <si>
    <t>310101_61</t>
  </si>
  <si>
    <t>GOBIERNOS REGIONALES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</si>
  <si>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</si>
  <si>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</si>
  <si>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</si>
  <si>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</si>
  <si>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</si>
  <si>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</si>
  <si>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</si>
  <si>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</si>
  <si>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</si>
  <si>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</si>
  <si>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</si>
  <si>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</si>
  <si>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</si>
  <si>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</si>
  <si>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</si>
  <si>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</si>
  <si>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</si>
  <si>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</si>
  <si>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</si>
  <si>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</si>
  <si>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</si>
  <si>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</si>
  <si>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070600_4074</t>
  </si>
  <si>
    <t>240106</t>
  </si>
  <si>
    <t>Transición Energética Justa</t>
  </si>
  <si>
    <t>250102</t>
  </si>
  <si>
    <t>Adaptación y Mitigación para el Cambio Climático</t>
  </si>
  <si>
    <t>270102</t>
  </si>
  <si>
    <t>020101_1</t>
  </si>
  <si>
    <t>020101_2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</si>
  <si>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</si>
  <si>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</si>
  <si>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</si>
  <si>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</si>
  <si>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</si>
  <si>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</si>
  <si>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</si>
  <si>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</si>
  <si>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</si>
  <si>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</si>
  <si>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</si>
  <si>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</si>
  <si>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</si>
  <si>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</si>
  <si>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</si>
  <si>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</si>
  <si>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</si>
  <si>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</si>
  <si>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</si>
  <si>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</si>
  <si>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</si>
  <si>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</si>
  <si>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</si>
  <si>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</si>
  <si>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</si>
  <si>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</si>
  <si>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</si>
  <si>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</si>
  <si>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</si>
  <si>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</si>
  <si>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</si>
  <si>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</si>
  <si>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</si>
  <si>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</si>
  <si>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</si>
  <si>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</si>
  <si>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</si>
  <si>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</si>
  <si>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</si>
  <si>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</si>
  <si>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</si>
  <si>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</si>
  <si>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</si>
  <si>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</si>
  <si>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</si>
  <si>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</si>
  <si>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</si>
  <si>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</si>
  <si>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</si>
  <si>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</si>
  <si>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</si>
  <si>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</si>
  <si>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</si>
  <si>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</si>
  <si>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</si>
  <si>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</si>
  <si>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</si>
  <si>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</si>
  <si>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</si>
  <si>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</si>
  <si>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</si>
  <si>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</si>
  <si>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</si>
  <si>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</si>
  <si>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</si>
  <si>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</si>
  <si>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</si>
  <si>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</si>
  <si>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</si>
  <si>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</si>
  <si>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</si>
  <si>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</si>
  <si>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</si>
  <si>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</si>
  <si>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</si>
  <si>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</si>
  <si>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</si>
  <si>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</si>
  <si>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</si>
  <si>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</si>
  <si>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</si>
  <si>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</si>
  <si>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</si>
  <si>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</si>
  <si>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</si>
  <si>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</si>
  <si>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</si>
  <si>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</si>
  <si>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</si>
  <si>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</si>
  <si>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</si>
  <si>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</si>
  <si>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</si>
  <si>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</si>
  <si>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</si>
  <si>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</si>
  <si>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</si>
  <si>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</si>
  <si>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</si>
  <si>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</si>
  <si>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</si>
  <si>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</si>
  <si>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</si>
  <si>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</si>
  <si>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</si>
  <si>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</si>
  <si>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</si>
  <si>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</si>
  <si>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</si>
  <si>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</si>
  <si>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</si>
  <si>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</si>
  <si>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</si>
  <si>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</si>
  <si>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</si>
  <si>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</si>
  <si>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</si>
  <si>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</si>
  <si>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</si>
  <si>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</si>
  <si>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</si>
  <si>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</si>
  <si>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</si>
  <si>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053601</t>
  </si>
  <si>
    <t>Agencia Nacional de Ciberseguridad</t>
  </si>
  <si>
    <t>151101</t>
  </si>
  <si>
    <t>Servicio de Biodiversidad y Áreas Protegidas</t>
  </si>
  <si>
    <t>250401</t>
  </si>
  <si>
    <t>APELLIDO_1</t>
  </si>
  <si>
    <t>APELLIDO_2</t>
  </si>
  <si>
    <t>CAT_TEMP</t>
  </si>
  <si>
    <t>MONTO REC+MONTO_COT</t>
  </si>
  <si>
    <t>Total N° días licencia</t>
  </si>
  <si>
    <t>M</t>
  </si>
  <si>
    <t>Mujeres</t>
  </si>
  <si>
    <t>DIAS LICENCIA</t>
  </si>
  <si>
    <t>RANGO</t>
  </si>
  <si>
    <t>CAT_2</t>
  </si>
  <si>
    <t>ID_TEMP</t>
  </si>
  <si>
    <t>Suma de dias de licencia</t>
  </si>
  <si>
    <t>Cuentas numero de licencias</t>
  </si>
  <si>
    <t>Suma de MONTO_REC+MONTO_COT</t>
  </si>
  <si>
    <t>Cuenta licencias médicas reembolsadas</t>
  </si>
  <si>
    <t>Hombres y No Binario</t>
  </si>
  <si>
    <t>[hasta 3]</t>
  </si>
  <si>
    <t>H_1</t>
  </si>
  <si>
    <t>X</t>
  </si>
  <si>
    <t>[4 a 10]</t>
  </si>
  <si>
    <t>H_2</t>
  </si>
  <si>
    <t>[11 +]</t>
  </si>
  <si>
    <t>H_3</t>
  </si>
  <si>
    <t>H_4</t>
  </si>
  <si>
    <t>H_5A</t>
  </si>
  <si>
    <t>H_5B</t>
  </si>
  <si>
    <t>Categoria</t>
  </si>
  <si>
    <t>H_6A</t>
  </si>
  <si>
    <t>Hombre licencia tipo 1</t>
  </si>
  <si>
    <t>H_6B</t>
  </si>
  <si>
    <t>Hombre licencia tipo 2</t>
  </si>
  <si>
    <t>H_7</t>
  </si>
  <si>
    <t>Hombre licencia tipo 3</t>
  </si>
  <si>
    <t>H_8</t>
  </si>
  <si>
    <t>Hombre licencia tipo 4</t>
  </si>
  <si>
    <t>H_9</t>
  </si>
  <si>
    <t>Hombre licencia tipo 5A</t>
  </si>
  <si>
    <t>H_10</t>
  </si>
  <si>
    <t>Hombre licencia tipo 5B</t>
  </si>
  <si>
    <t>H_11</t>
  </si>
  <si>
    <t>Hombre licencia tipo 6A</t>
  </si>
  <si>
    <t>H_12</t>
  </si>
  <si>
    <t>Hombre licencia tipo 6B</t>
  </si>
  <si>
    <t>H_13</t>
  </si>
  <si>
    <t>Hombre licencia tipo 7</t>
  </si>
  <si>
    <t>M_1</t>
  </si>
  <si>
    <t>Hombre licencia tipo 8</t>
  </si>
  <si>
    <t>M_2</t>
  </si>
  <si>
    <t>Hombre licencia tipo 9</t>
  </si>
  <si>
    <t>M_3</t>
  </si>
  <si>
    <t>Hombre licencia tipo 10</t>
  </si>
  <si>
    <t>M_4</t>
  </si>
  <si>
    <t>Hombre licencia tipo 11</t>
  </si>
  <si>
    <t>M_5A</t>
  </si>
  <si>
    <t>Hombre licencia tipo 12</t>
  </si>
  <si>
    <t>M_5B</t>
  </si>
  <si>
    <t>Hombre licencia tipo 13</t>
  </si>
  <si>
    <t>M_6A</t>
  </si>
  <si>
    <t>Mujer licencia tipo 1</t>
  </si>
  <si>
    <t>M_6B</t>
  </si>
  <si>
    <t>Mujer licencia tipo 2</t>
  </si>
  <si>
    <t>M_7</t>
  </si>
  <si>
    <t>Mujer licencia tipo 3</t>
  </si>
  <si>
    <t>M_8</t>
  </si>
  <si>
    <t>Mujer licencia tipo 4</t>
  </si>
  <si>
    <t>M_9</t>
  </si>
  <si>
    <t>Mujer licencia tipo 5A</t>
  </si>
  <si>
    <t>M_10</t>
  </si>
  <si>
    <t>Mujer licencia tipo 5B</t>
  </si>
  <si>
    <t>M_11</t>
  </si>
  <si>
    <t>Mujer licencia tipo 6A</t>
  </si>
  <si>
    <t>M_12</t>
  </si>
  <si>
    <t>Mujer licencia tipo 6B</t>
  </si>
  <si>
    <t>M_13</t>
  </si>
  <si>
    <t>Mujer licencia tipo 7</t>
  </si>
  <si>
    <t>Mujer licencia tipo 8</t>
  </si>
  <si>
    <t>Mujer licencia tipo 9</t>
  </si>
  <si>
    <t>Mujer licencia tipo 10</t>
  </si>
  <si>
    <t>Mujer licencia tipo 11</t>
  </si>
  <si>
    <t>Mujer licencia tipo 12</t>
  </si>
  <si>
    <t>Mujer licencia tipo 13</t>
  </si>
  <si>
    <t>H_1_[&lt; 3]</t>
  </si>
  <si>
    <t>1.-Total de dias de licencias autorizadas por tipo de licencia y género, según duración de la licencia médica</t>
  </si>
  <si>
    <t>Codigo licencia</t>
  </si>
  <si>
    <t>TOTAL</t>
  </si>
  <si>
    <t>Hombre</t>
  </si>
  <si>
    <t>Mujer</t>
  </si>
  <si>
    <t>Licencias médicas por &lt;3 dias</t>
  </si>
  <si>
    <t xml:space="preserve">Licencias medicas entre [3 a 10] dias </t>
  </si>
  <si>
    <t>Licencias medicas desde 11 o mas días</t>
  </si>
  <si>
    <t xml:space="preserve">Licencia Maternal Pre y Post Natal </t>
  </si>
  <si>
    <t>Accidente del trabajo o del trayecto (extendido por organismos administradores seguro accidentes del
trabajo y enfermedades profesionales)</t>
  </si>
  <si>
    <t>Enfermedad Profesional (extendido por organismos administradores seguro accidentes del trabajo y
enfermedades profesionales)</t>
  </si>
  <si>
    <t>Uso de licencia médica preventiva parental por causa de la enfermedad COVID-19 para efectos del cuidado
del niño o niña</t>
  </si>
  <si>
    <t>2.-Número de licencias autorizadas por tipo de licencia y género, según duración de la licencia médica</t>
  </si>
  <si>
    <t>TIPO LICENCIA</t>
  </si>
  <si>
    <t>3.-Número de licencias autorizadas con reembolso, por tipo de licencia y género, según duración de la licencia médica</t>
  </si>
  <si>
    <t>4.-Total de monto ($) recuperado por tipo de licencia y género, según duración de la licencia médica</t>
  </si>
  <si>
    <t>Seleccionar mes de corte</t>
  </si>
  <si>
    <t>Tipo de Licencia Médica</t>
  </si>
  <si>
    <t>GÉNERO</t>
  </si>
  <si>
    <t>Hombre y No binario</t>
  </si>
  <si>
    <t>Licencias médicas por
hasta 3 dias</t>
  </si>
  <si>
    <t xml:space="preserve">Licencias medicas entre
[4 a 10] dias </t>
  </si>
  <si>
    <t>Licencias medicas desde
11 o mas días</t>
  </si>
  <si>
    <t>1/2</t>
  </si>
  <si>
    <t>Accidente del trabajo o del trayecto</t>
  </si>
  <si>
    <t>Enfermedad Profesional</t>
  </si>
  <si>
    <t>9/10/ 11/12</t>
  </si>
  <si>
    <t>% según género</t>
  </si>
  <si>
    <t>Número de funcionarios</t>
  </si>
  <si>
    <t>% Licencias médicas reembolsadas</t>
  </si>
  <si>
    <t>n</t>
  </si>
  <si>
    <t>Total registros unicos</t>
  </si>
  <si>
    <t>Total registros validos</t>
  </si>
  <si>
    <t>Ley SANNA</t>
  </si>
  <si>
    <t>L</t>
  </si>
  <si>
    <t>VERGARA</t>
  </si>
  <si>
    <t>TORRES</t>
  </si>
  <si>
    <t>AGUILERA</t>
  </si>
  <si>
    <t>ALARCON</t>
  </si>
  <si>
    <t>RIQUELME</t>
  </si>
  <si>
    <t>OJEDA</t>
  </si>
  <si>
    <t>K</t>
  </si>
  <si>
    <t>GONZALEZ</t>
  </si>
  <si>
    <t>MORENO</t>
  </si>
  <si>
    <t>SALINAS</t>
  </si>
  <si>
    <t>SOTO</t>
  </si>
  <si>
    <t>FLORES</t>
  </si>
  <si>
    <t>LOPEZ</t>
  </si>
  <si>
    <t>GOMEZ</t>
  </si>
  <si>
    <t>MARIA EUGENIA</t>
  </si>
  <si>
    <t>MEJIAS</t>
  </si>
  <si>
    <t>DONOSO</t>
  </si>
  <si>
    <t>RAMIREZ</t>
  </si>
  <si>
    <t>MENDEZ</t>
  </si>
  <si>
    <t>GAJARDO</t>
  </si>
  <si>
    <t>PINO</t>
  </si>
  <si>
    <t>RIOS</t>
  </si>
  <si>
    <t>TORO</t>
  </si>
  <si>
    <t>FUENTES</t>
  </si>
  <si>
    <t>OSORIO</t>
  </si>
  <si>
    <t>SEPULVEDA</t>
  </si>
  <si>
    <t>GODOY</t>
  </si>
  <si>
    <t>MARTINEZ</t>
  </si>
  <si>
    <t>MUÑOZ</t>
  </si>
  <si>
    <t>ZUÑIGA</t>
  </si>
  <si>
    <t>REBOLLEDO</t>
  </si>
  <si>
    <t>VERA</t>
  </si>
  <si>
    <t>AGUILA</t>
  </si>
  <si>
    <t>CRISTIAN MAURICIO</t>
  </si>
  <si>
    <t>SANCHEZ</t>
  </si>
  <si>
    <t>CASTILLO</t>
  </si>
  <si>
    <t>PALMA</t>
  </si>
  <si>
    <t>PEREZ</t>
  </si>
  <si>
    <t>VALENZUELA</t>
  </si>
  <si>
    <t>MARIA TERESA</t>
  </si>
  <si>
    <t>ROJAS</t>
  </si>
  <si>
    <t>PAOLA ANDREA</t>
  </si>
  <si>
    <t>CASTRO</t>
  </si>
  <si>
    <t>AHUMADA</t>
  </si>
  <si>
    <t>CORTEZ</t>
  </si>
  <si>
    <t>CABRERA</t>
  </si>
  <si>
    <t>HERRERA</t>
  </si>
  <si>
    <t>MIGUEL ANGEL</t>
  </si>
  <si>
    <t>REYES</t>
  </si>
  <si>
    <t>ESPINOZA</t>
  </si>
  <si>
    <t>MANRIQUEZ</t>
  </si>
  <si>
    <t>PONCE</t>
  </si>
  <si>
    <t>FARIAS</t>
  </si>
  <si>
    <t>VARGAS</t>
  </si>
  <si>
    <t>RUIZ</t>
  </si>
  <si>
    <t>MARCO ANTONIO</t>
  </si>
  <si>
    <t>MARIA JOSE</t>
  </si>
  <si>
    <t>SALAS</t>
  </si>
  <si>
    <t>ANGELICA MARIA</t>
  </si>
  <si>
    <t>CATALAN</t>
  </si>
  <si>
    <t>BUSTAMANTE</t>
  </si>
  <si>
    <t>QUEZADA</t>
  </si>
  <si>
    <t>CACERES</t>
  </si>
  <si>
    <t>ROBINSON HERNAN</t>
  </si>
  <si>
    <t>CUEVAS</t>
  </si>
  <si>
    <t>ESCOBAR</t>
  </si>
  <si>
    <t>ITURRA</t>
  </si>
  <si>
    <t>NATALIA ANDREA</t>
  </si>
  <si>
    <t>TRIVIÑO</t>
  </si>
  <si>
    <t>DANIELA ANDREA</t>
  </si>
  <si>
    <t>VALDES</t>
  </si>
  <si>
    <t>FRANCISCA YESSENIA</t>
  </si>
  <si>
    <t>HENRIQUEZ</t>
  </si>
  <si>
    <t>QUIROZ</t>
  </si>
  <si>
    <t>MARIO ALEJANDRO</t>
  </si>
  <si>
    <t>070600_3400</t>
  </si>
  <si>
    <t>ESBIR</t>
  </si>
  <si>
    <t>CUMMINS</t>
  </si>
  <si>
    <t>NICOLAS</t>
  </si>
  <si>
    <t>HERNANDEZ</t>
  </si>
  <si>
    <t>HERNAN CHRISTIAN</t>
  </si>
  <si>
    <t>ROMITO</t>
  </si>
  <si>
    <t>DI PIETRO</t>
  </si>
  <si>
    <t>DIEGO ARTURO</t>
  </si>
  <si>
    <t>ZAPATA</t>
  </si>
  <si>
    <t>MARIA ELIZABETH</t>
  </si>
  <si>
    <t>BASCUÑAN</t>
  </si>
  <si>
    <t>COLLADO</t>
  </si>
  <si>
    <t>JANET ALEJANDRA</t>
  </si>
  <si>
    <t>CARVALLO</t>
  </si>
  <si>
    <t>ALBORNOZ</t>
  </si>
  <si>
    <t>SEBASTIAN MARCOS</t>
  </si>
  <si>
    <t>OLMEDO</t>
  </si>
  <si>
    <t>MARIA SOLEDAD</t>
  </si>
  <si>
    <t>BADILLA</t>
  </si>
  <si>
    <t>ESTEFANIA JACQUELINE</t>
  </si>
  <si>
    <t>ARAVENA</t>
  </si>
  <si>
    <t>ARELLANO</t>
  </si>
  <si>
    <t>PAULINA DEL CARMEN</t>
  </si>
  <si>
    <t>KARLA ANDREA</t>
  </si>
  <si>
    <t>ARAYA</t>
  </si>
  <si>
    <t>MONTANE</t>
  </si>
  <si>
    <t>BRUNO BERNABE</t>
  </si>
  <si>
    <t>PANTOJA</t>
  </si>
  <si>
    <t>MONTES</t>
  </si>
  <si>
    <t>GARCIA</t>
  </si>
  <si>
    <t>CATALINA ANDREA</t>
  </si>
  <si>
    <t>070600_2100</t>
  </si>
  <si>
    <t>ARANEDA</t>
  </si>
  <si>
    <t>DANIEL ALEJANDRO</t>
  </si>
  <si>
    <t>VILLANUEVA</t>
  </si>
  <si>
    <t>ASTRID MARLON</t>
  </si>
  <si>
    <t>MORAGA</t>
  </si>
  <si>
    <t>GUILLIANS ROMINA</t>
  </si>
  <si>
    <t>LANDSBERGER</t>
  </si>
  <si>
    <t>EWALD RODRIGO ALEX</t>
  </si>
  <si>
    <t>ALVEAR</t>
  </si>
  <si>
    <t>RETAMAL</t>
  </si>
  <si>
    <t>GISLANIA LEONOR</t>
  </si>
  <si>
    <t>DIAZ</t>
  </si>
  <si>
    <t>RAFAEL GUSTAVO EDUARDO</t>
  </si>
  <si>
    <t>OBREQUE</t>
  </si>
  <si>
    <t>ELIZABETH ADRIANA</t>
  </si>
  <si>
    <t>DURAN</t>
  </si>
  <si>
    <t>INGRID INES</t>
  </si>
  <si>
    <t>JUAN MANUEL</t>
  </si>
  <si>
    <t>PIZARRO</t>
  </si>
  <si>
    <t>PUEBLA</t>
  </si>
  <si>
    <t>JOCELYN PAMELA</t>
  </si>
  <si>
    <t>070600_2700</t>
  </si>
  <si>
    <t>ÑANCULEO</t>
  </si>
  <si>
    <t>RAGUILEO</t>
  </si>
  <si>
    <t>VEGA</t>
  </si>
  <si>
    <t>OSCAR LIONEL</t>
  </si>
  <si>
    <t>ALVARADO</t>
  </si>
  <si>
    <t>MANUEL SEGUNDO</t>
  </si>
  <si>
    <t>CESAR MANUEL</t>
  </si>
  <si>
    <t>MONASTERIO</t>
  </si>
  <si>
    <t>FERNANDEZ</t>
  </si>
  <si>
    <t>MONTSERRAT ALEJANDRA</t>
  </si>
  <si>
    <t>SOLIS</t>
  </si>
  <si>
    <t>YESSENIA DE LOURDES</t>
  </si>
  <si>
    <t>MARCONE</t>
  </si>
  <si>
    <t>DIEGO RODRIGO</t>
  </si>
  <si>
    <t>SAAVEDRA</t>
  </si>
  <si>
    <t>CAROLINA ANDREA</t>
  </si>
  <si>
    <t>HUGO SEBASTIAN</t>
  </si>
  <si>
    <t>INOSTROZA</t>
  </si>
  <si>
    <t>PATRICIO ANDRE</t>
  </si>
  <si>
    <t>CANDIA</t>
  </si>
  <si>
    <t>EMILIANO JOSE</t>
  </si>
  <si>
    <t>CATRILEO</t>
  </si>
  <si>
    <t>EVA DEL CARMEN</t>
  </si>
  <si>
    <t>CONTRERAS</t>
  </si>
  <si>
    <t>CAROLINA ISABEL</t>
  </si>
  <si>
    <t>LEAL</t>
  </si>
  <si>
    <t>VILCHES</t>
  </si>
  <si>
    <t>ANDRES SALVADOR</t>
  </si>
  <si>
    <t>SANDOVAL</t>
  </si>
  <si>
    <t>PASTEN</t>
  </si>
  <si>
    <t>VALDERRAMA</t>
  </si>
  <si>
    <t>AMERICO SEBASTIAN</t>
  </si>
  <si>
    <t>LINDEROS</t>
  </si>
  <si>
    <t>JAIME ANDRES</t>
  </si>
  <si>
    <t>CORTINEZ</t>
  </si>
  <si>
    <t>CISTERNAS</t>
  </si>
  <si>
    <t>EDUARDO SIMON</t>
  </si>
  <si>
    <t>ORELLANA</t>
  </si>
  <si>
    <t>MARCIA ELIANA</t>
  </si>
  <si>
    <t>GUERRERO</t>
  </si>
  <si>
    <t>SUAREZ</t>
  </si>
  <si>
    <t>FERNANDO ANTONIO</t>
  </si>
  <si>
    <t>ARRATIA</t>
  </si>
  <si>
    <t>CONSUELO ALEJANDRA</t>
  </si>
  <si>
    <t>MONARDES</t>
  </si>
  <si>
    <t>FRANCISCA VERONICA</t>
  </si>
  <si>
    <t>AGUILAR</t>
  </si>
  <si>
    <t>YESICA SOLEDAD</t>
  </si>
  <si>
    <t>CAMPOS</t>
  </si>
  <si>
    <t>NATALIA FRANCISCA</t>
  </si>
  <si>
    <t>SARAY NICOLE</t>
  </si>
  <si>
    <t>LAMA</t>
  </si>
  <si>
    <t>PEÑA Y LILLO</t>
  </si>
  <si>
    <t>MARIA EMILIA</t>
  </si>
  <si>
    <t>MACHADO</t>
  </si>
  <si>
    <t>RIVAS</t>
  </si>
  <si>
    <t>MARCIA ANGELICA DE LOURDES</t>
  </si>
  <si>
    <t>MARTA ANGELICA</t>
  </si>
  <si>
    <t>RABELLO</t>
  </si>
  <si>
    <t>GAITERO</t>
  </si>
  <si>
    <t>CAROLINA ALEJANDRA</t>
  </si>
  <si>
    <t>GUAJARDO</t>
  </si>
  <si>
    <t>MANUEL ESTEBAN</t>
  </si>
  <si>
    <t>MOLINA</t>
  </si>
  <si>
    <t>PEREZ DE CASTRO</t>
  </si>
  <si>
    <t>MONICA</t>
  </si>
  <si>
    <t>MAURELIA</t>
  </si>
  <si>
    <t>JOSE ORLANDO</t>
  </si>
  <si>
    <t>OYANEDEL</t>
  </si>
  <si>
    <t>MILTON CLAUDIO</t>
  </si>
  <si>
    <t>MARCHANT</t>
  </si>
  <si>
    <t>MUNDACA</t>
  </si>
  <si>
    <t>EDISON EDUARDO</t>
  </si>
  <si>
    <t>JOFRE</t>
  </si>
  <si>
    <t>RAQUEL PILAR</t>
  </si>
  <si>
    <t>VICENTE</t>
  </si>
  <si>
    <t>PAZ CONSUELO</t>
  </si>
  <si>
    <t>PALOMINO</t>
  </si>
  <si>
    <t>JARA</t>
  </si>
  <si>
    <t>JOHN EDUARDO</t>
  </si>
  <si>
    <t>CARTES</t>
  </si>
  <si>
    <t>LORENA ANDREA</t>
  </si>
  <si>
    <t>VALENCIA</t>
  </si>
  <si>
    <t>VALERIA XIMENA</t>
  </si>
  <si>
    <t>ARBOLEDA</t>
  </si>
  <si>
    <t>CEA</t>
  </si>
  <si>
    <t>CARLOS EDUARDO</t>
  </si>
  <si>
    <t>PAULINA ANDREA</t>
  </si>
  <si>
    <t>SOLANGE PAOLA</t>
  </si>
  <si>
    <t>GABRIELA ALEJANDRA</t>
  </si>
  <si>
    <t>SCHWABE</t>
  </si>
  <si>
    <t>HELD</t>
  </si>
  <si>
    <t>PAMELA PATRICIA</t>
  </si>
  <si>
    <t>CORTES</t>
  </si>
  <si>
    <t>RODRIGUEZ</t>
  </si>
  <si>
    <t>SANDRA ERICA</t>
  </si>
  <si>
    <t>MONDACA</t>
  </si>
  <si>
    <t>COTROZO</t>
  </si>
  <si>
    <t>VANESSA PRISCILA</t>
  </si>
  <si>
    <t>ZEPEDA</t>
  </si>
  <si>
    <t>VICTORIA ALEJANDRA</t>
  </si>
  <si>
    <t>MICHAEL ANGELO</t>
  </si>
  <si>
    <t>GALAZ</t>
  </si>
  <si>
    <t>SALAZAR</t>
  </si>
  <si>
    <t>CRUZ</t>
  </si>
  <si>
    <t>SARA ANDREA</t>
  </si>
  <si>
    <t>RASSE</t>
  </si>
  <si>
    <t>SOFIA CECILIA</t>
  </si>
  <si>
    <t>URRUTIA</t>
  </si>
  <si>
    <t>IGLESIAS</t>
  </si>
  <si>
    <t>SEBASTIAN MARCELO</t>
  </si>
  <si>
    <t>CAROCA</t>
  </si>
  <si>
    <t>HUMBERTO LIONEL</t>
  </si>
  <si>
    <t>SOLANO</t>
  </si>
  <si>
    <t>DAVILA</t>
  </si>
  <si>
    <t>JESSICA PAOLA</t>
  </si>
  <si>
    <t>BASILOTTA</t>
  </si>
  <si>
    <t>APABLAZA</t>
  </si>
  <si>
    <t>SANHUEZA</t>
  </si>
  <si>
    <t>MANSILLA</t>
  </si>
  <si>
    <t>OCAMPO</t>
  </si>
  <si>
    <t>COLOMBIA STELLA</t>
  </si>
  <si>
    <t>MARYORIE EILEEN</t>
  </si>
  <si>
    <t>VILLALOBOS</t>
  </si>
  <si>
    <t>HINOJOSA</t>
  </si>
  <si>
    <t>MACARENA CECILIA</t>
  </si>
  <si>
    <t>ALFARO</t>
  </si>
  <si>
    <t>CERDA</t>
  </si>
  <si>
    <t>MARIA CONSTANZA</t>
  </si>
  <si>
    <t>MANCISIDOR</t>
  </si>
  <si>
    <t>ROSSANA PILAR</t>
  </si>
  <si>
    <t>RIVEROS</t>
  </si>
  <si>
    <t>PINTONE</t>
  </si>
  <si>
    <t>PAMELA ALEJANDRA</t>
  </si>
  <si>
    <t>PAREDES</t>
  </si>
  <si>
    <t>DANISA ESTER</t>
  </si>
  <si>
    <t>BARBARA</t>
  </si>
  <si>
    <t>URZUA</t>
  </si>
  <si>
    <t>SEBASTIAN ALEJANDRO</t>
  </si>
  <si>
    <t>PIEROTIC</t>
  </si>
  <si>
    <t>MENDIA</t>
  </si>
  <si>
    <t>TANIA</t>
  </si>
  <si>
    <t>FIGUEROA</t>
  </si>
  <si>
    <t>ORTIZ</t>
  </si>
  <si>
    <t>CATHERINE VALESKA</t>
  </si>
  <si>
    <t>MAULME</t>
  </si>
  <si>
    <t>MACARENA BELEN</t>
  </si>
  <si>
    <t>PAMELA ANDREA</t>
  </si>
  <si>
    <t>MAMANI</t>
  </si>
  <si>
    <t>CHAMBI</t>
  </si>
  <si>
    <t>MAGDALENA</t>
  </si>
  <si>
    <t>MONCKEBERG</t>
  </si>
  <si>
    <t>GUZMAN</t>
  </si>
  <si>
    <t>CAMILA</t>
  </si>
  <si>
    <t>HEISE</t>
  </si>
  <si>
    <t>LARA</t>
  </si>
  <si>
    <t>ROSA MARINA</t>
  </si>
  <si>
    <t>CECILIA ALEJANDRA</t>
  </si>
  <si>
    <t>RAMOS</t>
  </si>
  <si>
    <t>JORGE ANDRES</t>
  </si>
  <si>
    <t>CARRASCO</t>
  </si>
  <si>
    <t>AMANDA ELOISA</t>
  </si>
  <si>
    <t>CABA</t>
  </si>
  <si>
    <t>MORA</t>
  </si>
  <si>
    <t>MARIA ELENA</t>
  </si>
  <si>
    <t>ORSOLA</t>
  </si>
  <si>
    <t>PORRAS</t>
  </si>
  <si>
    <t>GUASTAVINO</t>
  </si>
  <si>
    <t>WILMA LORENA</t>
  </si>
  <si>
    <t>PINTO</t>
  </si>
  <si>
    <t>CORDOVA</t>
  </si>
  <si>
    <t>ANDREA SALOME</t>
  </si>
  <si>
    <t>BORQUEZ</t>
  </si>
  <si>
    <t>ASTUDILLO</t>
  </si>
  <si>
    <t>PADILLA</t>
  </si>
  <si>
    <t>BRAVO</t>
  </si>
  <si>
    <t>MACARENA</t>
  </si>
  <si>
    <t>OLIVOS</t>
  </si>
  <si>
    <t>MARIA INES</t>
  </si>
  <si>
    <t>PAEZ</t>
  </si>
  <si>
    <t>ALEGRIA</t>
  </si>
  <si>
    <t>TANIA VALESKA</t>
  </si>
  <si>
    <t>BELLIDO</t>
  </si>
  <si>
    <t>JORGE EDUARDO</t>
  </si>
  <si>
    <t>LECOURT</t>
  </si>
  <si>
    <t>LAURA MARIA</t>
  </si>
  <si>
    <t>MARIN</t>
  </si>
  <si>
    <t>MARIA E. SOLEDAD</t>
  </si>
  <si>
    <t>MEYER</t>
  </si>
  <si>
    <t>FRANCISCO ANTONIO</t>
  </si>
  <si>
    <t>FELMER</t>
  </si>
  <si>
    <t>CAUCAO</t>
  </si>
  <si>
    <t>ANDRES EDUARDO</t>
  </si>
  <si>
    <t>BRICEÑO</t>
  </si>
  <si>
    <t>ANTIMILLA</t>
  </si>
  <si>
    <t>XIMENA DAMARI</t>
  </si>
  <si>
    <t>VALLESPIN</t>
  </si>
  <si>
    <t>ROCIO</t>
  </si>
  <si>
    <t>OLIVARES</t>
  </si>
  <si>
    <t>KARLA DAYANA</t>
  </si>
  <si>
    <t>VALIENTE</t>
  </si>
  <si>
    <t>MOYANO</t>
  </si>
  <si>
    <t>NUÑEZ</t>
  </si>
  <si>
    <t>FONTECILLA</t>
  </si>
  <si>
    <t>ALEJANDRA ANTONIA</t>
  </si>
  <si>
    <t>CRISTOBAL MATIAS</t>
  </si>
  <si>
    <t>BARRERA</t>
  </si>
  <si>
    <t>PAULA CECILIA</t>
  </si>
  <si>
    <t>PAULA JEANNETTE</t>
  </si>
  <si>
    <t>MARDONES</t>
  </si>
  <si>
    <t>LOYOLA</t>
  </si>
  <si>
    <t>ALLENDES</t>
  </si>
  <si>
    <t>AYEVIRI</t>
  </si>
  <si>
    <t>PATRICIA VICTORIA</t>
  </si>
  <si>
    <t>LETELIER</t>
  </si>
  <si>
    <t>VIVIAN FABIOLA</t>
  </si>
  <si>
    <t>GALLEGUILLOS</t>
  </si>
  <si>
    <t>ELGUETA</t>
  </si>
  <si>
    <t>CLAUDIA ANDREA</t>
  </si>
  <si>
    <t>MELLADO</t>
  </si>
  <si>
    <t>LIZAMA</t>
  </si>
  <si>
    <t>CORRALES</t>
  </si>
  <si>
    <t>FUENTEALBA</t>
  </si>
  <si>
    <t>JESSY LYNNS</t>
  </si>
  <si>
    <t>HANZ VOELLER</t>
  </si>
  <si>
    <t>MAUREIRA</t>
  </si>
  <si>
    <t>PATRICIA ALEJANDRA</t>
  </si>
  <si>
    <t>MORALES</t>
  </si>
  <si>
    <t>MONICA DEL CARMEN</t>
  </si>
  <si>
    <t>ROBLES</t>
  </si>
  <si>
    <t>GABRIELA ELIZABETH</t>
  </si>
  <si>
    <t>CALDERON</t>
  </si>
  <si>
    <t>VIEYTES</t>
  </si>
  <si>
    <t>RODRIGO LEONARDO</t>
  </si>
  <si>
    <t>CASANOVA</t>
  </si>
  <si>
    <t>NICOLAS EDUARDO</t>
  </si>
  <si>
    <t>JOHNSON</t>
  </si>
  <si>
    <t>FERNANDO GABRIEL</t>
  </si>
  <si>
    <t>CEPEDA</t>
  </si>
  <si>
    <t>JAVIERA MAIBE</t>
  </si>
  <si>
    <t>SUBIABRE</t>
  </si>
  <si>
    <t>ALVAREZ</t>
  </si>
  <si>
    <t>BETSY</t>
  </si>
  <si>
    <t>HUMERES</t>
  </si>
  <si>
    <t>GORMAZ</t>
  </si>
  <si>
    <t>FERNANDO</t>
  </si>
  <si>
    <t>JAVIERA NOEMA ANDREA</t>
  </si>
  <si>
    <t>MARCELA CLAUDIA DEL PILAR</t>
  </si>
  <si>
    <t>ZULETA</t>
  </si>
  <si>
    <t>MARIA DEL CARMEN</t>
  </si>
  <si>
    <t>JESUS ARNALDO GERMAIN</t>
  </si>
  <si>
    <t>CIFUENTES</t>
  </si>
  <si>
    <t>JENIFER NICOLE</t>
  </si>
  <si>
    <t>MONSALVES</t>
  </si>
  <si>
    <t>JAVIER GEOVANNE</t>
  </si>
  <si>
    <t>VIRGINIA CECILIA</t>
  </si>
  <si>
    <t>GANGA</t>
  </si>
  <si>
    <t>ROSA DEL CARMEN</t>
  </si>
  <si>
    <t>SOLEDAD ANDREA</t>
  </si>
  <si>
    <t>FRANCISCO JAVIER</t>
  </si>
  <si>
    <t>CESPEDES</t>
  </si>
  <si>
    <t>JESSICA DEL CARMEN</t>
  </si>
  <si>
    <t>ESPINOSA</t>
  </si>
  <si>
    <t>PERLA LORENA</t>
  </si>
  <si>
    <t>KATHERINE PAMELA</t>
  </si>
  <si>
    <t>ENCINA</t>
  </si>
  <si>
    <t>SILVA</t>
  </si>
  <si>
    <t>DANIELA TERESITA</t>
  </si>
  <si>
    <t>DRPIC</t>
  </si>
  <si>
    <t>LORENA EDUVIGES</t>
  </si>
  <si>
    <t>MUÑIZ</t>
  </si>
  <si>
    <t>FABIOLA CAROLINA</t>
  </si>
  <si>
    <t>PAPIC</t>
  </si>
  <si>
    <t>VALENTINA DEL PILAR</t>
  </si>
  <si>
    <t>OSES</t>
  </si>
  <si>
    <t>XIMENA DEL PILAR</t>
  </si>
  <si>
    <t>CLAUDIA PAMELA</t>
  </si>
  <si>
    <t>NAHUEL</t>
  </si>
  <si>
    <t>LILIAN ROSA</t>
  </si>
  <si>
    <t>BORIS ROBERTO</t>
  </si>
  <si>
    <t>MACHUCA</t>
  </si>
  <si>
    <t>FRITIS</t>
  </si>
  <si>
    <t>DIEGO</t>
  </si>
  <si>
    <t>MILLAR</t>
  </si>
  <si>
    <t>OLGA</t>
  </si>
  <si>
    <t>AGUAYO</t>
  </si>
  <si>
    <t>MATURANA</t>
  </si>
  <si>
    <t>CAROLINA VERONICA</t>
  </si>
  <si>
    <t>WILLIAMS</t>
  </si>
  <si>
    <t>ANN CAROLINE CECILIA MILDRED</t>
  </si>
  <si>
    <t>LOO</t>
  </si>
  <si>
    <t>OYARZUN</t>
  </si>
  <si>
    <t>SU YEN</t>
  </si>
  <si>
    <t>JULIAN ANDRES</t>
  </si>
  <si>
    <t>LLOMPARTE</t>
  </si>
  <si>
    <t>ROMUALD AARON</t>
  </si>
  <si>
    <t>ANA ELIZABETH</t>
  </si>
  <si>
    <t>FLANDEZ</t>
  </si>
  <si>
    <t>DANIELA FABIOLA</t>
  </si>
  <si>
    <t>TOLENTINO</t>
  </si>
  <si>
    <t>JULIO CESAR</t>
  </si>
  <si>
    <t>LARENAS</t>
  </si>
  <si>
    <t>MAURICIO JAVIER</t>
  </si>
  <si>
    <t>VILLARROEL</t>
  </si>
  <si>
    <t>PAULA ALEJANDRA</t>
  </si>
  <si>
    <t>ROCHA</t>
  </si>
  <si>
    <t>ROXANA JACQUELINE</t>
  </si>
  <si>
    <t>LARRAIN</t>
  </si>
  <si>
    <t>FRANCO</t>
  </si>
  <si>
    <t>TRUI-TRUI</t>
  </si>
  <si>
    <t>YULY ROSALIA</t>
  </si>
  <si>
    <t>JOPIA</t>
  </si>
  <si>
    <t>DANIELA VERUSKA</t>
  </si>
  <si>
    <t>SAUD</t>
  </si>
  <si>
    <t>GAETE</t>
  </si>
  <si>
    <t>NATALIA KARIME</t>
  </si>
  <si>
    <t>LILIANA PILAR</t>
  </si>
  <si>
    <t>BENCINI</t>
  </si>
  <si>
    <t>VICENTE CARLOS</t>
  </si>
  <si>
    <t>STUARDO</t>
  </si>
  <si>
    <t>JERIA</t>
  </si>
  <si>
    <t>PABLO ANDRES</t>
  </si>
  <si>
    <t>ROMAN</t>
  </si>
  <si>
    <t>ROSA NATALIE</t>
  </si>
  <si>
    <t>ALLAMAND</t>
  </si>
  <si>
    <t>BARAHONA</t>
  </si>
  <si>
    <t>MARIA PAZ</t>
  </si>
  <si>
    <t>QUILODRAN</t>
  </si>
  <si>
    <t>JULIE ANGELINA</t>
  </si>
  <si>
    <t>MARISOL DE LAS NIEVES</t>
  </si>
  <si>
    <t>NAVARRETE</t>
  </si>
  <si>
    <t>SOLANGE GENESIS</t>
  </si>
  <si>
    <t>ALEJANDRO ALBANO</t>
  </si>
  <si>
    <t>PARADA</t>
  </si>
  <si>
    <t>MARCELA DE LAS NIEVES</t>
  </si>
  <si>
    <t>JONATHAN JESUS</t>
  </si>
  <si>
    <t>LOBOS</t>
  </si>
  <si>
    <t>SAN MARTIN</t>
  </si>
  <si>
    <t>LUIS ALEJANDRO</t>
  </si>
  <si>
    <t>VALLEJOS</t>
  </si>
  <si>
    <t>BARBARA NICOLE</t>
  </si>
  <si>
    <t>HARDY</t>
  </si>
  <si>
    <t>CLAUDIA ANGELICA</t>
  </si>
  <si>
    <t>TREBILCOCK</t>
  </si>
  <si>
    <t>CANALE</t>
  </si>
  <si>
    <t>SILVIA DE LOURDES</t>
  </si>
  <si>
    <t>070600_1900</t>
  </si>
  <si>
    <t>TRONCOSO</t>
  </si>
  <si>
    <t>NARVAEZ</t>
  </si>
  <si>
    <t>BERNARDO</t>
  </si>
  <si>
    <t>JORGE SEBASTIAN</t>
  </si>
  <si>
    <t>JUAN</t>
  </si>
  <si>
    <t>TENEO</t>
  </si>
  <si>
    <t>URIBE</t>
  </si>
  <si>
    <t>CARMEN SARA</t>
  </si>
  <si>
    <t>MOLDENHAUER</t>
  </si>
  <si>
    <t>MONICA YALENA</t>
  </si>
  <si>
    <t>GERARDO ANIBAL</t>
  </si>
  <si>
    <t>LLANCAMIL</t>
  </si>
  <si>
    <t>PABLO IGNACIO</t>
  </si>
  <si>
    <t>JEAME</t>
  </si>
  <si>
    <t>JARAMILLO</t>
  </si>
  <si>
    <t>ANTONIO ERNESTO</t>
  </si>
  <si>
    <t>PACHECO</t>
  </si>
  <si>
    <t>BAGYINKA</t>
  </si>
  <si>
    <t>PATRICIA ANDREA</t>
  </si>
  <si>
    <t>TEJERINA</t>
  </si>
  <si>
    <t>ANA DEL CARMEN</t>
  </si>
  <si>
    <t>MADRID</t>
  </si>
  <si>
    <t>CRISTOBAL JAVIER</t>
  </si>
  <si>
    <t>CERPA</t>
  </si>
  <si>
    <t>NELSON ZILAY</t>
  </si>
  <si>
    <t>PAVEZ</t>
  </si>
  <si>
    <t>ELIAS GERMAN</t>
  </si>
  <si>
    <t>PEILLARD</t>
  </si>
  <si>
    <t>MARIA CECILIA</t>
  </si>
  <si>
    <t>ARDILES</t>
  </si>
  <si>
    <t>ORDENES</t>
  </si>
  <si>
    <t>DAVID ALEJANDRO</t>
  </si>
  <si>
    <t>MATILDE PAMELA</t>
  </si>
  <si>
    <t>ALTAMIRANO</t>
  </si>
  <si>
    <t>RUPERTO</t>
  </si>
  <si>
    <t>CARRIZO</t>
  </si>
  <si>
    <t>GORIGOITIA</t>
  </si>
  <si>
    <t>GONZALO ENRIQUE</t>
  </si>
  <si>
    <t>MATAMOROS</t>
  </si>
  <si>
    <t>LORENA HILDA</t>
  </si>
  <si>
    <t>LEDESMA</t>
  </si>
  <si>
    <t>BARBARA MICHELLE</t>
  </si>
  <si>
    <t>ROBERTO GUILLERMO</t>
  </si>
  <si>
    <t>ULLOA</t>
  </si>
  <si>
    <t>ANDREA MACARENA</t>
  </si>
  <si>
    <t>SEGURA</t>
  </si>
  <si>
    <t>FABIOLA DEL CARMEN</t>
  </si>
  <si>
    <t>BARRIENTOS</t>
  </si>
  <si>
    <t>DELGADO</t>
  </si>
  <si>
    <t>ELENA PAZ</t>
  </si>
  <si>
    <t>COVARRUBIAS</t>
  </si>
  <si>
    <t>BECERRA</t>
  </si>
  <si>
    <t>GABRIELA BELEN</t>
  </si>
  <si>
    <t>VENTURELLI</t>
  </si>
  <si>
    <t>VERONICA PATRICIA</t>
  </si>
  <si>
    <t>OVALLE</t>
  </si>
  <si>
    <t>GEOVANNA DEL CARMEN</t>
  </si>
  <si>
    <t>SOLORZANO</t>
  </si>
  <si>
    <t>MARIA ALEJANDRA</t>
  </si>
  <si>
    <t>GALVEZ</t>
  </si>
  <si>
    <t>NILO</t>
  </si>
  <si>
    <t>CAMILA ELISA</t>
  </si>
  <si>
    <t>BERNARDO LUIS JORGE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</si>
</sst>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dd/mm/yyyy;@"/>
    <numFmt numFmtId="165" formatCode="0.0%"/>
  </numFmts>
  <fonts count="5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sz val="7"/>
      <name val="Calibri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10"/>
      <color indexed="12"/>
      <name val="Calibri"/>
      <family val="2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sz val="10"/>
      <color rgb="FF000000"/>
      <name val="Century Gothic"/>
      <family val="2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sz val="14"/>
      <color theme="1"/>
      <name val="Candara"/>
      <family val="2"/>
    </font>
    <font>
      <b/>
      <i/>
      <sz val="14"/>
      <color theme="1"/>
      <name val="Candara"/>
      <family val="2"/>
    </font>
    <font>
      <b/>
      <sz val="14"/>
      <color theme="1"/>
      <name val="Candara"/>
      <family val="2"/>
    </font>
    <font>
      <sz val="14"/>
      <color theme="1"/>
      <name val="Calibri"/>
      <family val="2"/>
      <scheme val="minor"/>
    </font>
    <font>
      <i/>
      <sz val="14"/>
      <color theme="1"/>
      <name val="Candara"/>
      <family val="2"/>
    </font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2"/>
      <color theme="1"/>
      <name val="Candara"/>
      <family val="2"/>
    </font>
    <font>
      <b/>
      <i/>
      <sz val="12"/>
      <color theme="1"/>
      <name val="Candara"/>
      <family val="2"/>
    </font>
    <font>
      <sz val="11"/>
      <color theme="1"/>
      <name val="Aptos Display"/>
      <family val="2"/>
    </font>
    <font>
      <sz val="14"/>
      <color theme="1"/>
      <name val="Aptos Display"/>
      <family val="2"/>
    </font>
    <font>
      <b/>
      <i/>
      <sz val="14"/>
      <color theme="1"/>
      <name val="Aptos Display"/>
      <family val="2"/>
    </font>
    <font>
      <b/>
      <sz val="12"/>
      <color theme="1"/>
      <name val="Aptos Display"/>
      <family val="2"/>
    </font>
    <font>
      <b/>
      <sz val="11"/>
      <color theme="1"/>
      <name val="Aptos Display"/>
      <family val="2"/>
    </font>
    <font>
      <sz val="12"/>
      <color theme="1"/>
      <name val="Aptos Display"/>
      <family val="2"/>
    </font>
    <font>
      <b/>
      <i/>
      <sz val="12"/>
      <color theme="1"/>
      <name val="Aptos Display"/>
      <family val="2"/>
    </font>
    <font>
      <b/>
      <i/>
      <sz val="11"/>
      <color theme="1"/>
      <name val="Aptos Display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5E6A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8">
    <xf numFmtId="0" fontId="0" fillId="0" borderId="0"/>
    <xf numFmtId="0" fontId="2" fillId="0" borderId="0"/>
    <xf numFmtId="0" fontId="6" fillId="0" borderId="0"/>
    <xf numFmtId="0" fontId="1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9" fillId="0" borderId="3" xfId="0" applyFont="1" applyBorder="1" applyAlignment="1">
      <alignment horizontal="justify" vertical="top" wrapText="1"/>
    </xf>
    <xf numFmtId="0" fontId="9" fillId="4" borderId="4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justify" vertical="top" wrapText="1"/>
    </xf>
    <xf numFmtId="49" fontId="10" fillId="4" borderId="4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3" xfId="0" applyFont="1" applyBorder="1" applyAlignment="1">
      <alignment vertical="top" wrapText="1"/>
    </xf>
    <xf numFmtId="0" fontId="3" fillId="4" borderId="4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0" fontId="18" fillId="4" borderId="4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10" fillId="0" borderId="0" xfId="0" applyFont="1"/>
    <xf numFmtId="0" fontId="19" fillId="0" borderId="3" xfId="0" applyFont="1" applyBorder="1" applyAlignment="1">
      <alignment horizontal="left" vertical="top" wrapText="1"/>
    </xf>
    <xf numFmtId="0" fontId="9" fillId="3" borderId="1" xfId="4" applyFont="1" applyFill="1" applyBorder="1" applyAlignment="1">
      <alignment vertical="center"/>
    </xf>
    <xf numFmtId="0" fontId="9" fillId="3" borderId="5" xfId="4" applyFont="1" applyFill="1" applyBorder="1" applyAlignment="1">
      <alignment vertical="center"/>
    </xf>
    <xf numFmtId="0" fontId="9" fillId="0" borderId="3" xfId="4" applyFont="1" applyBorder="1" applyAlignment="1">
      <alignment vertical="center"/>
    </xf>
    <xf numFmtId="0" fontId="9" fillId="4" borderId="4" xfId="4" applyFont="1" applyFill="1" applyBorder="1" applyAlignment="1">
      <alignment horizontal="center" vertical="center"/>
    </xf>
    <xf numFmtId="0" fontId="10" fillId="5" borderId="3" xfId="4" applyFont="1" applyFill="1" applyBorder="1" applyAlignment="1">
      <alignment vertical="center"/>
    </xf>
    <xf numFmtId="0" fontId="10" fillId="4" borderId="4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vertical="center"/>
    </xf>
    <xf numFmtId="0" fontId="10" fillId="6" borderId="3" xfId="4" applyFont="1" applyFill="1" applyBorder="1" applyAlignment="1">
      <alignment vertical="center"/>
    </xf>
    <xf numFmtId="0" fontId="21" fillId="7" borderId="3" xfId="4" applyFont="1" applyFill="1" applyBorder="1" applyAlignment="1">
      <alignment vertical="center"/>
    </xf>
    <xf numFmtId="0" fontId="21" fillId="8" borderId="3" xfId="4" applyFont="1" applyFill="1" applyBorder="1" applyAlignment="1">
      <alignment vertical="center"/>
    </xf>
    <xf numFmtId="0" fontId="10" fillId="9" borderId="3" xfId="4" applyFont="1" applyFill="1" applyBorder="1" applyAlignment="1">
      <alignment vertical="center"/>
    </xf>
    <xf numFmtId="0" fontId="10" fillId="10" borderId="3" xfId="4" applyFont="1" applyFill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9" fillId="0" borderId="0" xfId="4" applyFont="1" applyAlignment="1">
      <alignment horizontal="justify" vertical="center"/>
    </xf>
    <xf numFmtId="0" fontId="2" fillId="0" borderId="0" xfId="4" applyAlignment="1">
      <alignment vertical="center"/>
    </xf>
    <xf numFmtId="0" fontId="9" fillId="3" borderId="1" xfId="4" applyFont="1" applyFill="1" applyBorder="1" applyAlignment="1">
      <alignment vertical="center" wrapText="1"/>
    </xf>
    <xf numFmtId="0" fontId="9" fillId="3" borderId="5" xfId="4" applyFont="1" applyFill="1" applyBorder="1" applyAlignment="1">
      <alignment vertical="center" wrapText="1"/>
    </xf>
    <xf numFmtId="0" fontId="9" fillId="0" borderId="3" xfId="4" applyFont="1" applyBorder="1" applyAlignment="1">
      <alignment vertical="center" wrapText="1"/>
    </xf>
    <xf numFmtId="0" fontId="9" fillId="4" borderId="4" xfId="4" applyFont="1" applyFill="1" applyBorder="1" applyAlignment="1">
      <alignment horizontal="center" vertical="center" wrapText="1"/>
    </xf>
    <xf numFmtId="0" fontId="9" fillId="5" borderId="5" xfId="4" applyFont="1" applyFill="1" applyBorder="1" applyAlignment="1">
      <alignment horizontal="center" vertical="center"/>
    </xf>
    <xf numFmtId="0" fontId="10" fillId="0" borderId="6" xfId="4" applyFont="1" applyBorder="1" applyAlignment="1">
      <alignment vertical="center" wrapText="1"/>
    </xf>
    <xf numFmtId="0" fontId="10" fillId="4" borderId="3" xfId="4" applyFont="1" applyFill="1" applyBorder="1" applyAlignment="1">
      <alignment vertical="center" wrapText="1"/>
    </xf>
    <xf numFmtId="0" fontId="9" fillId="2" borderId="5" xfId="4" quotePrefix="1" applyFont="1" applyFill="1" applyBorder="1" applyAlignment="1">
      <alignment horizontal="center" vertical="center"/>
    </xf>
    <xf numFmtId="0" fontId="9" fillId="9" borderId="5" xfId="4" applyFont="1" applyFill="1" applyBorder="1" applyAlignment="1">
      <alignment horizontal="center" vertical="center"/>
    </xf>
    <xf numFmtId="0" fontId="9" fillId="6" borderId="5" xfId="4" applyFont="1" applyFill="1" applyBorder="1" applyAlignment="1">
      <alignment horizontal="center" vertical="center"/>
    </xf>
    <xf numFmtId="0" fontId="22" fillId="7" borderId="5" xfId="4" applyFont="1" applyFill="1" applyBorder="1" applyAlignment="1">
      <alignment horizontal="center" vertical="center"/>
    </xf>
    <xf numFmtId="0" fontId="22" fillId="8" borderId="5" xfId="4" applyFont="1" applyFill="1" applyBorder="1" applyAlignment="1">
      <alignment horizontal="center" vertical="center"/>
    </xf>
    <xf numFmtId="0" fontId="10" fillId="0" borderId="3" xfId="4" applyFont="1" applyBorder="1" applyAlignment="1">
      <alignment vertical="center" wrapText="1"/>
    </xf>
    <xf numFmtId="0" fontId="10" fillId="4" borderId="4" xfId="4" applyFont="1" applyFill="1" applyBorder="1" applyAlignment="1">
      <alignment vertical="center" wrapText="1"/>
    </xf>
    <xf numFmtId="0" fontId="9" fillId="10" borderId="5" xfId="4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left" vertical="top" wrapText="1"/>
    </xf>
    <xf numFmtId="49" fontId="10" fillId="0" borderId="0" xfId="0" applyNumberFormat="1" applyFont="1"/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0" fontId="30" fillId="0" borderId="0" xfId="0" applyFont="1"/>
    <xf numFmtId="0" fontId="1" fillId="4" borderId="3" xfId="4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top" wrapText="1"/>
    </xf>
    <xf numFmtId="0" fontId="31" fillId="0" borderId="3" xfId="0" applyFont="1" applyBorder="1" applyAlignment="1">
      <alignment horizontal="justify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12" borderId="0" xfId="0" applyFont="1" applyFill="1" applyAlignment="1">
      <alignment horizontal="center" vertical="center" wrapText="1"/>
    </xf>
    <xf numFmtId="0" fontId="24" fillId="13" borderId="0" xfId="2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7" fillId="11" borderId="0" xfId="1" applyFont="1" applyFill="1" applyAlignment="1">
      <alignment horizontal="center" vertical="center" wrapText="1"/>
    </xf>
    <xf numFmtId="0" fontId="32" fillId="0" borderId="5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19" fillId="0" borderId="5" xfId="0" applyFont="1" applyBorder="1" applyAlignment="1">
      <alignment horizontal="justify" vertical="top" wrapText="1"/>
    </xf>
    <xf numFmtId="0" fontId="19" fillId="4" borderId="2" xfId="0" applyFont="1" applyFill="1" applyBorder="1" applyAlignment="1">
      <alignment horizontal="center" wrapText="1"/>
    </xf>
    <xf numFmtId="0" fontId="23" fillId="4" borderId="4" xfId="0" applyFont="1" applyFill="1" applyBorder="1" applyAlignment="1">
      <alignment vertical="top" wrapText="1"/>
    </xf>
    <xf numFmtId="0" fontId="19" fillId="15" borderId="3" xfId="0" applyFont="1" applyFill="1" applyBorder="1" applyAlignment="1">
      <alignment vertical="top" wrapText="1"/>
    </xf>
    <xf numFmtId="0" fontId="23" fillId="15" borderId="4" xfId="0" applyFont="1" applyFill="1" applyBorder="1" applyAlignment="1">
      <alignment vertical="top" wrapText="1"/>
    </xf>
    <xf numFmtId="0" fontId="35" fillId="16" borderId="3" xfId="0" applyFont="1" applyFill="1" applyBorder="1" applyAlignment="1">
      <alignment horizontal="justify" vertical="center" wrapText="1"/>
    </xf>
    <xf numFmtId="0" fontId="35" fillId="16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justify" vertical="center" wrapText="1"/>
    </xf>
    <xf numFmtId="0" fontId="29" fillId="0" borderId="4" xfId="0" applyFont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justify" vertical="top" wrapText="1"/>
    </xf>
    <xf numFmtId="0" fontId="10" fillId="14" borderId="4" xfId="0" applyFont="1" applyFill="1" applyBorder="1" applyAlignment="1">
      <alignment horizontal="center" wrapText="1"/>
    </xf>
    <xf numFmtId="0" fontId="10" fillId="14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2" applyFont="1" applyAlignment="1">
      <alignment horizontal="center"/>
    </xf>
    <xf numFmtId="0" fontId="19" fillId="0" borderId="0" xfId="0" applyFont="1" applyAlignment="1">
      <alignment horizontal="left" vertical="top" wrapText="1"/>
    </xf>
    <xf numFmtId="0" fontId="23" fillId="4" borderId="0" xfId="0" applyFont="1" applyFill="1" applyAlignment="1">
      <alignment horizontal="left" vertical="top" wrapText="1"/>
    </xf>
    <xf numFmtId="0" fontId="9" fillId="3" borderId="1" xfId="5" applyFont="1" applyFill="1" applyBorder="1" applyAlignment="1">
      <alignment vertical="center"/>
    </xf>
    <xf numFmtId="0" fontId="9" fillId="3" borderId="5" xfId="5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" fillId="0" borderId="0" xfId="3" applyNumberFormat="1" applyFont="1"/>
    <xf numFmtId="0" fontId="1" fillId="0" borderId="6" xfId="4" applyFont="1" applyBorder="1" applyAlignment="1">
      <alignment vertical="center" wrapText="1"/>
    </xf>
    <xf numFmtId="49" fontId="1" fillId="0" borderId="7" xfId="3" applyNumberFormat="1" applyFont="1" applyBorder="1"/>
    <xf numFmtId="0" fontId="1" fillId="0" borderId="7" xfId="3" applyFont="1" applyBorder="1" applyAlignment="1">
      <alignment vertical="center"/>
    </xf>
    <xf numFmtId="0" fontId="10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14" fontId="10" fillId="0" borderId="0" xfId="0" applyNumberFormat="1" applyFont="1" applyAlignment="1">
      <alignment vertical="center"/>
    </xf>
    <xf numFmtId="49" fontId="12" fillId="0" borderId="7" xfId="3" applyNumberFormat="1" applyFont="1" applyBorder="1" applyAlignment="1">
      <alignment horizontal="center" vertical="center"/>
    </xf>
    <xf numFmtId="0" fontId="29" fillId="0" borderId="7" xfId="0" applyFont="1" applyBorder="1"/>
    <xf numFmtId="49" fontId="13" fillId="17" borderId="8" xfId="0" applyNumberFormat="1" applyFont="1" applyFill="1" applyBorder="1"/>
    <xf numFmtId="0" fontId="13" fillId="17" borderId="7" xfId="0" applyFont="1" applyFill="1" applyBorder="1" applyAlignment="1">
      <alignment vertical="center"/>
    </xf>
    <xf numFmtId="0" fontId="13" fillId="17" borderId="7" xfId="0" applyFont="1" applyFill="1" applyBorder="1" applyAlignment="1">
      <alignment wrapText="1"/>
    </xf>
    <xf numFmtId="0" fontId="13" fillId="17" borderId="7" xfId="0" applyFont="1" applyFill="1" applyBorder="1"/>
    <xf numFmtId="0" fontId="4" fillId="1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0" fillId="19" borderId="7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center"/>
    </xf>
    <xf numFmtId="0" fontId="38" fillId="12" borderId="7" xfId="0" applyFont="1" applyFill="1" applyBorder="1" applyAlignment="1">
      <alignment horizontal="center"/>
    </xf>
    <xf numFmtId="0" fontId="38" fillId="19" borderId="0" xfId="0" applyFont="1" applyFill="1" applyAlignment="1">
      <alignment horizontal="center"/>
    </xf>
    <xf numFmtId="0" fontId="38" fillId="12" borderId="7" xfId="0" applyFont="1" applyFill="1" applyBorder="1" applyAlignment="1">
      <alignment horizontal="center" wrapText="1"/>
    </xf>
    <xf numFmtId="0" fontId="38" fillId="19" borderId="7" xfId="0" applyFont="1" applyFill="1" applyBorder="1" applyAlignment="1">
      <alignment horizontal="center" wrapText="1"/>
    </xf>
    <xf numFmtId="0" fontId="38" fillId="19" borderId="0" xfId="0" applyFont="1" applyFill="1" applyAlignment="1">
      <alignment horizontal="center" wrapText="1"/>
    </xf>
    <xf numFmtId="0" fontId="36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 wrapText="1"/>
    </xf>
    <xf numFmtId="0" fontId="36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39" fillId="0" borderId="0" xfId="0" applyFont="1"/>
    <xf numFmtId="0" fontId="40" fillId="0" borderId="7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43" fillId="12" borderId="7" xfId="0" applyFont="1" applyFill="1" applyBorder="1" applyAlignment="1">
      <alignment horizontal="center"/>
    </xf>
    <xf numFmtId="0" fontId="43" fillId="19" borderId="0" xfId="0" applyFont="1" applyFill="1" applyAlignment="1">
      <alignment horizontal="center"/>
    </xf>
    <xf numFmtId="0" fontId="43" fillId="12" borderId="7" xfId="0" applyFont="1" applyFill="1" applyBorder="1" applyAlignment="1">
      <alignment horizontal="center" wrapText="1"/>
    </xf>
    <xf numFmtId="0" fontId="43" fillId="19" borderId="7" xfId="0" applyFont="1" applyFill="1" applyBorder="1" applyAlignment="1">
      <alignment horizontal="center" wrapText="1"/>
    </xf>
    <xf numFmtId="0" fontId="43" fillId="19" borderId="0" xfId="0" applyFont="1" applyFill="1" applyAlignment="1">
      <alignment horizontal="center" wrapText="1"/>
    </xf>
    <xf numFmtId="0" fontId="42" fillId="0" borderId="7" xfId="0" applyFont="1" applyBorder="1" applyAlignment="1">
      <alignment horizontal="center"/>
    </xf>
    <xf numFmtId="0" fontId="42" fillId="0" borderId="7" xfId="0" applyFont="1" applyBorder="1" applyAlignment="1">
      <alignment horizontal="center" wrapText="1"/>
    </xf>
    <xf numFmtId="3" fontId="42" fillId="0" borderId="7" xfId="0" applyNumberFormat="1" applyFont="1" applyBorder="1"/>
    <xf numFmtId="3" fontId="42" fillId="0" borderId="0" xfId="0" applyNumberFormat="1" applyFont="1"/>
    <xf numFmtId="3" fontId="44" fillId="0" borderId="7" xfId="0" applyNumberFormat="1" applyFont="1" applyBorder="1" applyAlignment="1">
      <alignment horizontal="center"/>
    </xf>
    <xf numFmtId="3" fontId="44" fillId="0" borderId="11" xfId="0" applyNumberFormat="1" applyFont="1" applyBorder="1" applyAlignment="1">
      <alignment horizontal="center"/>
    </xf>
    <xf numFmtId="0" fontId="44" fillId="0" borderId="11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5" fillId="0" borderId="0" xfId="0" applyFont="1"/>
    <xf numFmtId="0" fontId="45" fillId="0" borderId="0" xfId="0" applyFont="1" applyAlignment="1">
      <alignment horizontal="center"/>
    </xf>
    <xf numFmtId="0" fontId="46" fillId="0" borderId="0" xfId="0" applyFont="1"/>
    <xf numFmtId="0" fontId="50" fillId="21" borderId="22" xfId="0" applyFont="1" applyFill="1" applyBorder="1" applyAlignment="1">
      <alignment horizontal="center" vertical="top" wrapText="1"/>
    </xf>
    <xf numFmtId="49" fontId="50" fillId="0" borderId="23" xfId="0" applyNumberFormat="1" applyFont="1" applyBorder="1" applyAlignment="1">
      <alignment horizontal="center" vertical="center"/>
    </xf>
    <xf numFmtId="0" fontId="50" fillId="0" borderId="23" xfId="0" applyFont="1" applyBorder="1" applyAlignment="1">
      <alignment horizontal="left" wrapText="1"/>
    </xf>
    <xf numFmtId="3" fontId="50" fillId="0" borderId="24" xfId="0" applyNumberFormat="1" applyFont="1" applyBorder="1" applyAlignment="1">
      <alignment horizontal="center"/>
    </xf>
    <xf numFmtId="3" fontId="50" fillId="0" borderId="25" xfId="0" applyNumberFormat="1" applyFont="1" applyBorder="1" applyAlignment="1">
      <alignment horizontal="center"/>
    </xf>
    <xf numFmtId="3" fontId="50" fillId="0" borderId="26" xfId="0" applyNumberFormat="1" applyFont="1" applyBorder="1" applyAlignment="1">
      <alignment horizontal="center"/>
    </xf>
    <xf numFmtId="3" fontId="50" fillId="0" borderId="27" xfId="0" applyNumberFormat="1" applyFont="1" applyBorder="1" applyAlignment="1">
      <alignment horizontal="center"/>
    </xf>
    <xf numFmtId="0" fontId="50" fillId="0" borderId="28" xfId="0" applyFont="1" applyBorder="1" applyAlignment="1">
      <alignment horizontal="center" vertical="center"/>
    </xf>
    <xf numFmtId="0" fontId="50" fillId="0" borderId="28" xfId="0" applyFont="1" applyBorder="1" applyAlignment="1">
      <alignment horizontal="left" wrapText="1"/>
    </xf>
    <xf numFmtId="3" fontId="50" fillId="0" borderId="29" xfId="0" applyNumberFormat="1" applyFont="1" applyBorder="1" applyAlignment="1">
      <alignment horizontal="center"/>
    </xf>
    <xf numFmtId="3" fontId="50" fillId="0" borderId="30" xfId="0" applyNumberFormat="1" applyFont="1" applyBorder="1" applyAlignment="1">
      <alignment horizontal="center"/>
    </xf>
    <xf numFmtId="3" fontId="50" fillId="0" borderId="31" xfId="0" applyNumberFormat="1" applyFont="1" applyBorder="1" applyAlignment="1">
      <alignment horizontal="center"/>
    </xf>
    <xf numFmtId="3" fontId="50" fillId="0" borderId="32" xfId="0" applyNumberFormat="1" applyFont="1" applyBorder="1" applyAlignment="1">
      <alignment horizontal="center"/>
    </xf>
    <xf numFmtId="0" fontId="50" fillId="0" borderId="28" xfId="0" applyFont="1" applyBorder="1" applyAlignment="1">
      <alignment horizontal="center" vertical="center" wrapText="1"/>
    </xf>
    <xf numFmtId="0" fontId="51" fillId="0" borderId="9" xfId="0" applyFont="1" applyBorder="1"/>
    <xf numFmtId="0" fontId="51" fillId="0" borderId="0" xfId="0" applyFont="1"/>
    <xf numFmtId="49" fontId="50" fillId="0" borderId="7" xfId="0" applyNumberFormat="1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165" fontId="51" fillId="0" borderId="0" xfId="6" applyNumberFormat="1" applyFont="1" applyBorder="1" applyAlignment="1">
      <alignment horizontal="center"/>
    </xf>
    <xf numFmtId="42" fontId="45" fillId="0" borderId="24" xfId="7" applyFont="1" applyBorder="1" applyAlignment="1">
      <alignment horizontal="center"/>
    </xf>
    <xf numFmtId="42" fontId="45" fillId="0" borderId="25" xfId="7" applyFont="1" applyBorder="1" applyAlignment="1">
      <alignment horizontal="center"/>
    </xf>
    <xf numFmtId="42" fontId="45" fillId="0" borderId="26" xfId="7" applyFont="1" applyBorder="1" applyAlignment="1">
      <alignment horizontal="center"/>
    </xf>
    <xf numFmtId="42" fontId="45" fillId="0" borderId="27" xfId="7" applyFont="1" applyBorder="1" applyAlignment="1">
      <alignment horizontal="center"/>
    </xf>
    <xf numFmtId="42" fontId="45" fillId="0" borderId="29" xfId="7" applyFont="1" applyBorder="1" applyAlignment="1">
      <alignment horizontal="center"/>
    </xf>
    <xf numFmtId="42" fontId="45" fillId="0" borderId="30" xfId="7" applyFont="1" applyBorder="1" applyAlignment="1">
      <alignment horizontal="center"/>
    </xf>
    <xf numFmtId="42" fontId="45" fillId="0" borderId="31" xfId="7" applyFont="1" applyBorder="1" applyAlignment="1">
      <alignment horizontal="center"/>
    </xf>
    <xf numFmtId="42" fontId="45" fillId="0" borderId="32" xfId="7" applyFont="1" applyBorder="1" applyAlignment="1">
      <alignment horizontal="center"/>
    </xf>
    <xf numFmtId="0" fontId="13" fillId="2" borderId="0" xfId="0" applyFont="1" applyFill="1"/>
    <xf numFmtId="3" fontId="0" fillId="0" borderId="0" xfId="0" applyNumberFormat="1"/>
    <xf numFmtId="0" fontId="51" fillId="21" borderId="9" xfId="0" applyFont="1" applyFill="1" applyBorder="1"/>
    <xf numFmtId="3" fontId="51" fillId="21" borderId="19" xfId="0" applyNumberFormat="1" applyFont="1" applyFill="1" applyBorder="1" applyAlignment="1">
      <alignment horizontal="center"/>
    </xf>
    <xf numFmtId="3" fontId="51" fillId="21" borderId="20" xfId="0" applyNumberFormat="1" applyFont="1" applyFill="1" applyBorder="1" applyAlignment="1">
      <alignment horizontal="center"/>
    </xf>
    <xf numFmtId="3" fontId="51" fillId="21" borderId="21" xfId="0" applyNumberFormat="1" applyFont="1" applyFill="1" applyBorder="1" applyAlignment="1">
      <alignment horizontal="center"/>
    </xf>
    <xf numFmtId="3" fontId="51" fillId="21" borderId="22" xfId="0" applyNumberFormat="1" applyFont="1" applyFill="1" applyBorder="1" applyAlignment="1">
      <alignment horizontal="center"/>
    </xf>
    <xf numFmtId="165" fontId="51" fillId="22" borderId="10" xfId="6" applyNumberFormat="1" applyFont="1" applyFill="1" applyBorder="1" applyAlignment="1">
      <alignment horizontal="center"/>
    </xf>
    <xf numFmtId="0" fontId="51" fillId="22" borderId="7" xfId="0" applyFont="1" applyFill="1" applyBorder="1" applyAlignment="1">
      <alignment horizontal="left"/>
    </xf>
    <xf numFmtId="3" fontId="51" fillId="22" borderId="10" xfId="0" applyNumberFormat="1" applyFont="1" applyFill="1" applyBorder="1" applyAlignment="1">
      <alignment horizontal="center"/>
    </xf>
    <xf numFmtId="0" fontId="51" fillId="22" borderId="9" xfId="0" applyFont="1" applyFill="1" applyBorder="1" applyAlignment="1">
      <alignment horizontal="left"/>
    </xf>
    <xf numFmtId="42" fontId="52" fillId="21" borderId="19" xfId="7" applyFont="1" applyFill="1" applyBorder="1" applyAlignment="1">
      <alignment horizontal="center"/>
    </xf>
    <xf numFmtId="42" fontId="52" fillId="21" borderId="20" xfId="7" applyFont="1" applyFill="1" applyBorder="1" applyAlignment="1">
      <alignment horizontal="center"/>
    </xf>
    <xf numFmtId="42" fontId="52" fillId="21" borderId="21" xfId="7" applyFont="1" applyFill="1" applyBorder="1" applyAlignment="1">
      <alignment horizontal="center"/>
    </xf>
    <xf numFmtId="42" fontId="52" fillId="21" borderId="22" xfId="7" applyFont="1" applyFill="1" applyBorder="1" applyAlignment="1">
      <alignment horizontal="center"/>
    </xf>
    <xf numFmtId="3" fontId="51" fillId="0" borderId="9" xfId="0" applyNumberFormat="1" applyFont="1" applyBorder="1" applyAlignment="1">
      <alignment horizontal="center"/>
    </xf>
    <xf numFmtId="3" fontId="51" fillId="0" borderId="12" xfId="0" applyNumberFormat="1" applyFont="1" applyBorder="1" applyAlignment="1">
      <alignment horizontal="center"/>
    </xf>
    <xf numFmtId="0" fontId="51" fillId="23" borderId="7" xfId="0" applyFont="1" applyFill="1" applyBorder="1"/>
    <xf numFmtId="0" fontId="51" fillId="0" borderId="9" xfId="0" applyFont="1" applyBorder="1" applyAlignment="1">
      <alignment horizontal="center"/>
    </xf>
    <xf numFmtId="0" fontId="51" fillId="0" borderId="12" xfId="0" applyFont="1" applyBorder="1" applyAlignment="1">
      <alignment horizontal="center"/>
    </xf>
    <xf numFmtId="0" fontId="45" fillId="21" borderId="19" xfId="0" applyFont="1" applyFill="1" applyBorder="1" applyAlignment="1">
      <alignment horizontal="center" vertical="top" wrapText="1"/>
    </xf>
    <xf numFmtId="0" fontId="45" fillId="21" borderId="20" xfId="0" applyFont="1" applyFill="1" applyBorder="1" applyAlignment="1">
      <alignment horizontal="center" vertical="top" wrapText="1"/>
    </xf>
    <xf numFmtId="0" fontId="45" fillId="21" borderId="21" xfId="0" applyFont="1" applyFill="1" applyBorder="1" applyAlignment="1">
      <alignment horizontal="center" vertical="top" wrapText="1"/>
    </xf>
    <xf numFmtId="0" fontId="45" fillId="21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9" fillId="21" borderId="7" xfId="0" applyFont="1" applyFill="1" applyBorder="1" applyAlignment="1">
      <alignment horizontal="center" vertical="center"/>
    </xf>
    <xf numFmtId="0" fontId="49" fillId="21" borderId="9" xfId="0" applyFont="1" applyFill="1" applyBorder="1" applyAlignment="1">
      <alignment horizontal="center"/>
    </xf>
    <xf numFmtId="0" fontId="49" fillId="21" borderId="12" xfId="0" applyFont="1" applyFill="1" applyBorder="1" applyAlignment="1">
      <alignment horizontal="center"/>
    </xf>
    <xf numFmtId="0" fontId="49" fillId="21" borderId="10" xfId="0" applyFont="1" applyFill="1" applyBorder="1" applyAlignment="1">
      <alignment horizontal="center"/>
    </xf>
    <xf numFmtId="0" fontId="49" fillId="21" borderId="13" xfId="0" applyFont="1" applyFill="1" applyBorder="1" applyAlignment="1">
      <alignment horizontal="center" vertical="center"/>
    </xf>
    <xf numFmtId="0" fontId="49" fillId="21" borderId="14" xfId="0" applyFont="1" applyFill="1" applyBorder="1" applyAlignment="1">
      <alignment horizontal="center" vertical="center"/>
    </xf>
    <xf numFmtId="0" fontId="49" fillId="21" borderId="15" xfId="0" applyFont="1" applyFill="1" applyBorder="1" applyAlignment="1">
      <alignment horizontal="center" vertical="center"/>
    </xf>
    <xf numFmtId="0" fontId="49" fillId="21" borderId="16" xfId="0" applyFont="1" applyFill="1" applyBorder="1" applyAlignment="1">
      <alignment horizontal="center" vertical="center"/>
    </xf>
    <xf numFmtId="0" fontId="49" fillId="21" borderId="17" xfId="0" applyFont="1" applyFill="1" applyBorder="1" applyAlignment="1">
      <alignment horizontal="center" vertical="center"/>
    </xf>
    <xf numFmtId="0" fontId="49" fillId="21" borderId="18" xfId="0" applyFont="1" applyFill="1" applyBorder="1" applyAlignment="1">
      <alignment horizontal="center" vertical="center"/>
    </xf>
    <xf numFmtId="0" fontId="49" fillId="21" borderId="16" xfId="0" applyFont="1" applyFill="1" applyBorder="1" applyAlignment="1">
      <alignment horizontal="center"/>
    </xf>
    <xf numFmtId="0" fontId="49" fillId="21" borderId="17" xfId="0" applyFont="1" applyFill="1" applyBorder="1" applyAlignment="1">
      <alignment horizontal="center"/>
    </xf>
    <xf numFmtId="0" fontId="49" fillId="21" borderId="18" xfId="0" applyFont="1" applyFill="1" applyBorder="1" applyAlignment="1">
      <alignment horizontal="center"/>
    </xf>
    <xf numFmtId="0" fontId="48" fillId="21" borderId="7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8" fillId="20" borderId="7" xfId="0" applyFont="1" applyFill="1" applyBorder="1" applyAlignment="1">
      <alignment horizontal="center" vertical="center" wrapText="1"/>
    </xf>
    <xf numFmtId="0" fontId="44" fillId="0" borderId="9" xfId="0" applyFont="1" applyBorder="1" applyAlignment="1">
      <alignment horizontal="center"/>
    </xf>
    <xf numFmtId="0" fontId="44" fillId="0" borderId="10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43" fillId="20" borderId="7" xfId="0" applyFont="1" applyFill="1" applyBorder="1" applyAlignment="1">
      <alignment horizontal="center" vertical="center"/>
    </xf>
    <xf numFmtId="0" fontId="43" fillId="12" borderId="7" xfId="0" applyFont="1" applyFill="1" applyBorder="1" applyAlignment="1">
      <alignment horizontal="center"/>
    </xf>
    <xf numFmtId="0" fontId="43" fillId="19" borderId="7" xfId="0" applyFont="1" applyFill="1" applyBorder="1" applyAlignment="1">
      <alignment horizontal="center"/>
    </xf>
    <xf numFmtId="0" fontId="38" fillId="20" borderId="7" xfId="0" applyFont="1" applyFill="1" applyBorder="1" applyAlignment="1">
      <alignment horizontal="center" vertical="center"/>
    </xf>
    <xf numFmtId="0" fontId="38" fillId="12" borderId="7" xfId="0" applyFont="1" applyFill="1" applyBorder="1" applyAlignment="1">
      <alignment horizontal="center"/>
    </xf>
    <xf numFmtId="0" fontId="38" fillId="19" borderId="7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justify" vertical="center" wrapText="1"/>
    </xf>
    <xf numFmtId="0" fontId="33" fillId="3" borderId="2" xfId="0" applyFont="1" applyFill="1" applyBorder="1" applyAlignment="1">
      <alignment horizontal="justify" vertical="center" wrapText="1"/>
    </xf>
    <xf numFmtId="0" fontId="34" fillId="3" borderId="1" xfId="0" applyFont="1" applyFill="1" applyBorder="1" applyAlignment="1">
      <alignment horizontal="justify" vertical="center" wrapText="1"/>
    </xf>
    <xf numFmtId="0" fontId="34" fillId="3" borderId="2" xfId="0" applyFont="1" applyFill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2" xfId="0" applyFont="1" applyFill="1" applyBorder="1" applyAlignment="1">
      <alignment horizontal="justify" vertical="top" wrapText="1"/>
    </xf>
    <xf numFmtId="0" fontId="17" fillId="3" borderId="1" xfId="0" applyFont="1" applyFill="1" applyBorder="1" applyAlignment="1">
      <alignment vertical="top" wrapText="1"/>
    </xf>
    <xf numFmtId="0" fontId="17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 wrapText="1"/>
    </xf>
  </cellXfs>
  <cellStyles count="8">
    <cellStyle name="Moneda [0] 2" xfId="7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2 2 2" xfId="2" xr:uid="{00000000-0005-0000-0000-000004000000}"/>
    <cellStyle name="Normal 4" xfId="4" xr:uid="{00000000-0005-0000-0000-000005000000}"/>
    <cellStyle name="Normal 4 10" xfId="5" xr:uid="{00000000-0005-0000-0000-000006000000}"/>
    <cellStyle name="Porcentaje" xfId="6" builtinId="5"/>
  </cellStyles>
  <dxfs count="0"/>
  <tableStyles count="0" defaultTableStyle="TableStyleMedium9" defaultPivotStyle="PivotStyleLight16"/>
  <colors>
    <mruColors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354"/>
  <sheetViews>
    <sheetView zoomScaleNormal="100" workbookViewId="0">
      <selection activeCell="K308" sqref="K308"/>
    </sheetView>
  </sheetViews>
  <sheetFormatPr baseColWidth="10" defaultColWidth="11.42578125" defaultRowHeight="12.75" x14ac:dyDescent="0.2"/>
  <cols>
    <col min="1" max="1" width="11.42578125" style="19" customWidth="1"/>
    <col min="2" max="2" width="9.5703125" style="19" bestFit="1" customWidth="1"/>
    <col min="3" max="3" width="11.42578125" style="19" customWidth="1"/>
    <col min="4" max="4" width="5.42578125" style="81" bestFit="1" customWidth="1"/>
    <col min="5" max="5" width="11.140625" style="19" customWidth="1"/>
    <col min="6" max="6" width="12.5703125" style="19" bestFit="1" customWidth="1"/>
    <col min="7" max="7" width="11.42578125" style="19" customWidth="1"/>
    <col min="8" max="8" width="7.28515625" style="19" bestFit="1" customWidth="1"/>
    <col min="9" max="9" width="11.42578125" style="19" customWidth="1"/>
    <col min="10" max="10" width="10.7109375" style="19" bestFit="1" customWidth="1"/>
    <col min="11" max="12" width="11.42578125" style="19" customWidth="1"/>
    <col min="13" max="13" width="6.5703125" style="19" bestFit="1" customWidth="1"/>
    <col min="14" max="14" width="11.42578125" style="19" customWidth="1"/>
    <col min="15" max="15" width="8.85546875" style="19" bestFit="1" customWidth="1"/>
    <col min="16" max="16" width="10.140625" style="81" bestFit="1" customWidth="1"/>
    <col min="17" max="28" width="11.42578125" style="19" customWidth="1"/>
    <col min="29" max="29" width="14.5703125" style="19" customWidth="1"/>
    <col min="30" max="30" width="11.42578125" style="19" customWidth="1"/>
    <col min="31" max="31" width="9.28515625" style="19" bestFit="1" customWidth="1"/>
    <col min="32" max="32" width="11.42578125" style="19" customWidth="1"/>
    <col min="33" max="33" width="18.5703125" style="19" customWidth="1"/>
    <col min="34" max="34" width="23.140625" style="19" bestFit="1" customWidth="1"/>
    <col min="35" max="35" width="16.7109375" style="19" bestFit="1" customWidth="1"/>
    <col min="36" max="36" width="11.42578125" style="19" customWidth="1"/>
    <col min="37" max="37" width="13.7109375" style="19" bestFit="1" customWidth="1"/>
    <col min="38" max="38" width="33.85546875" style="19" bestFit="1" customWidth="1"/>
    <col min="39" max="39" width="11.5703125" style="19" customWidth="1"/>
    <col min="40" max="40" width="13.7109375" style="19" customWidth="1"/>
    <col min="41" max="41" width="15.140625" style="19" bestFit="1" customWidth="1"/>
    <col min="42" max="42" width="15.140625" style="19" customWidth="1"/>
    <col min="43" max="43" width="12.85546875" style="19" customWidth="1"/>
    <col min="44" max="44" width="15" style="19" bestFit="1" customWidth="1"/>
    <col min="45" max="45" width="11.28515625" style="19" bestFit="1" customWidth="1"/>
    <col min="46" max="46" width="12.42578125" style="19" bestFit="1" customWidth="1"/>
    <col min="47" max="47" width="14.7109375" style="19" customWidth="1"/>
    <col min="48" max="48" width="13.85546875" style="19" customWidth="1"/>
    <col min="49" max="49" width="9.28515625" style="19" bestFit="1" customWidth="1"/>
    <col min="50" max="50" width="12.7109375" style="19" customWidth="1"/>
    <col min="51" max="53" width="14.42578125" style="19" customWidth="1"/>
    <col min="54" max="54" width="16.5703125" style="19" bestFit="1" customWidth="1"/>
    <col min="55" max="55" width="15.42578125" style="19" bestFit="1" customWidth="1"/>
    <col min="56" max="56" width="15" style="19" bestFit="1" customWidth="1"/>
    <col min="57" max="57" width="15.5703125" style="19" bestFit="1" customWidth="1"/>
    <col min="58" max="58" width="15.85546875" style="19" bestFit="1" customWidth="1"/>
    <col min="59" max="59" width="16" style="19" hidden="1" customWidth="1"/>
    <col min="60" max="16384" width="11.42578125" style="19"/>
  </cols>
  <sheetData>
    <row r="1" spans="1:59" customFormat="1" ht="42.75" customHeight="1" x14ac:dyDescent="0.25">
      <c r="A1" s="54" t="s">
        <v>0</v>
      </c>
      <c r="B1" s="54" t="s">
        <v>1</v>
      </c>
      <c r="C1" s="96" t="s">
        <v>2</v>
      </c>
      <c r="D1" s="215" t="s">
        <v>3</v>
      </c>
      <c r="E1" s="54" t="s">
        <v>1028</v>
      </c>
      <c r="F1" s="54" t="s">
        <v>1029</v>
      </c>
      <c r="G1" s="96" t="s">
        <v>486</v>
      </c>
      <c r="H1" s="96" t="s">
        <v>630</v>
      </c>
      <c r="I1" s="97" t="s">
        <v>665</v>
      </c>
      <c r="J1" s="98" t="s">
        <v>536</v>
      </c>
      <c r="K1" s="98" t="s">
        <v>537</v>
      </c>
      <c r="L1" s="97" t="s">
        <v>494</v>
      </c>
      <c r="M1" s="98" t="s">
        <v>4</v>
      </c>
      <c r="N1" s="99" t="s">
        <v>5</v>
      </c>
      <c r="O1" s="96" t="s">
        <v>6</v>
      </c>
      <c r="P1" s="96" t="s">
        <v>7</v>
      </c>
      <c r="Q1" s="54" t="s">
        <v>8</v>
      </c>
      <c r="R1" s="96" t="s">
        <v>609</v>
      </c>
      <c r="S1" s="96" t="s">
        <v>610</v>
      </c>
      <c r="T1" s="96" t="s">
        <v>611</v>
      </c>
      <c r="U1" s="96" t="s">
        <v>9</v>
      </c>
      <c r="V1" s="96" t="s">
        <v>724</v>
      </c>
      <c r="W1" s="96" t="s">
        <v>725</v>
      </c>
      <c r="X1" s="96" t="s">
        <v>726</v>
      </c>
      <c r="Y1" s="96" t="s">
        <v>727</v>
      </c>
      <c r="Z1" s="96" t="s">
        <v>728</v>
      </c>
      <c r="AA1" s="96" t="s">
        <v>729</v>
      </c>
      <c r="AB1" s="96" t="s">
        <v>730</v>
      </c>
      <c r="AC1" s="106" t="s">
        <v>1030</v>
      </c>
      <c r="AD1" s="106" t="s">
        <v>1031</v>
      </c>
      <c r="AE1" s="62" t="s">
        <v>0</v>
      </c>
      <c r="AF1" s="62" t="s">
        <v>531</v>
      </c>
      <c r="AG1" s="64" t="s">
        <v>751</v>
      </c>
      <c r="AH1" s="65" t="s">
        <v>603</v>
      </c>
      <c r="AI1" s="62" t="s">
        <v>286</v>
      </c>
      <c r="AJ1" s="61" t="s">
        <v>45</v>
      </c>
      <c r="AK1" s="62" t="s">
        <v>46</v>
      </c>
      <c r="AL1" s="62" t="s">
        <v>630</v>
      </c>
      <c r="AM1" s="62" t="s">
        <v>660</v>
      </c>
      <c r="AN1" s="62" t="s">
        <v>536</v>
      </c>
      <c r="AO1" s="62" t="s">
        <v>537</v>
      </c>
      <c r="AP1" s="63" t="s">
        <v>494</v>
      </c>
      <c r="AQ1" s="63" t="s">
        <v>4</v>
      </c>
      <c r="AR1" s="63" t="s">
        <v>5</v>
      </c>
      <c r="AS1" s="63" t="s">
        <v>6</v>
      </c>
      <c r="AT1" s="63" t="s">
        <v>7</v>
      </c>
      <c r="AU1" s="63" t="s">
        <v>8</v>
      </c>
      <c r="AV1" s="63" t="s">
        <v>609</v>
      </c>
      <c r="AW1" s="63" t="s">
        <v>610</v>
      </c>
      <c r="AX1" s="63" t="s">
        <v>611</v>
      </c>
      <c r="AY1" s="63" t="s">
        <v>9</v>
      </c>
      <c r="AZ1" s="63" t="s">
        <v>724</v>
      </c>
      <c r="BA1" s="63" t="s">
        <v>725</v>
      </c>
      <c r="BB1" s="63" t="s">
        <v>726</v>
      </c>
      <c r="BC1" s="63" t="s">
        <v>727</v>
      </c>
      <c r="BD1" s="63" t="s">
        <v>728</v>
      </c>
      <c r="BE1" s="63" t="s">
        <v>729</v>
      </c>
      <c r="BF1" s="63" t="s">
        <v>730</v>
      </c>
      <c r="BG1" s="53">
        <v>45747</v>
      </c>
    </row>
    <row r="2" spans="1:59" x14ac:dyDescent="0.2">
      <c r="A2" s="80" t="s">
        <v>1144</v>
      </c>
      <c r="B2" s="92" t="s">
        <v>76</v>
      </c>
      <c r="C2" s="202">
        <v>8322183</v>
      </c>
      <c r="D2" s="203">
        <v>6</v>
      </c>
      <c r="E2" s="204" t="s">
        <v>1168</v>
      </c>
      <c r="F2" s="204" t="s">
        <v>1146</v>
      </c>
      <c r="G2" s="204" t="s">
        <v>1208</v>
      </c>
      <c r="H2" s="205" t="s">
        <v>663</v>
      </c>
      <c r="I2" s="205" t="s">
        <v>662</v>
      </c>
      <c r="J2" s="203">
        <v>80</v>
      </c>
      <c r="K2" s="204" t="s">
        <v>567</v>
      </c>
      <c r="L2" s="206" t="s">
        <v>502</v>
      </c>
      <c r="M2" s="210" t="s">
        <v>18</v>
      </c>
      <c r="N2" s="211">
        <v>45658</v>
      </c>
      <c r="O2" s="207">
        <v>29</v>
      </c>
      <c r="P2" s="203">
        <v>1</v>
      </c>
      <c r="Q2" s="205" t="s">
        <v>23</v>
      </c>
      <c r="R2" s="205" t="s">
        <v>11</v>
      </c>
      <c r="S2" s="205" t="s">
        <v>23</v>
      </c>
      <c r="T2" s="207">
        <v>29</v>
      </c>
      <c r="U2" s="208" t="s">
        <v>11</v>
      </c>
      <c r="V2" s="212" t="s">
        <v>11</v>
      </c>
      <c r="W2" s="212" t="s">
        <v>19</v>
      </c>
      <c r="X2" s="209">
        <v>944595</v>
      </c>
      <c r="Y2" s="213" t="s">
        <v>735</v>
      </c>
      <c r="Z2" s="209">
        <v>29</v>
      </c>
      <c r="AA2" s="209">
        <v>944595</v>
      </c>
      <c r="AB2" s="209">
        <v>944595</v>
      </c>
      <c r="AC2" s="178" t="str">
        <f>IF(OR(M2="13",M2="14",P2=8),"",IF(AND(OR(S2="AUTORIZADO", S2="PENDIENTE", S2="REDUCIDO", S2="AMPLIADO"),L2&lt;&gt;"HONORARIO" ), CONCATENATE(IF(H2="X","H",H2),"_",IF(OR(P2=5,P2=6),_xlfn.CONCAT(P2,"A"),P2),"_",VLOOKUP(T2,Datos!$B$2:$C$5,2,TRUE)),""))</f>
        <v>H_1_[11 +]</v>
      </c>
      <c r="AD2" s="178">
        <f t="shared" ref="AD2:AD57" si="0">IF(AC2="",0,AA2+AB2)</f>
        <v>1889190</v>
      </c>
      <c r="AE2" s="82" t="str">
        <f t="shared" ref="AE2:AE57" si="1">IF(A2="","Celda vacía",IF(A2="L","-","Revisar"))</f>
        <v>-</v>
      </c>
      <c r="AF2" s="83" t="str">
        <f t="shared" ref="AF2:AF57" si="2">IF(B2="","Celda vacía",IF(LEN(B2)=4,REPLACE(B2,1,6,CONCATENATE("00",B2)),IF(LEN(B2)=5,REPLACE(B2,1,6,CONCATENATE("0",B2)),IF(LEN(B2)=6,REPLACE(B2,1,6,B2),IF(AND(LEN(B2)&gt;6,OR(LEFT(B2,4)="1202", LEFT(B2,4)="1703")),REPLACE(B2,1,LEN(B2),B2),"Revisar")))))</f>
        <v>070601</v>
      </c>
      <c r="AG2" s="84"/>
      <c r="AH2" s="85" t="str">
        <f t="shared" ref="AH2:AH57" si="3">IF(B2="","Celda Vacía",IF(ISERROR(IF(B2="","",VLOOKUP(B2,Codigo,3,0))),"Corregir código servicio",IF(B2="","",VLOOKUP(B2,Codigo,3,0))))</f>
        <v>Corporación de Fomento de la Producción</v>
      </c>
      <c r="AI2" s="82" t="str">
        <f t="shared" ref="AI2:AI57" si="4">IF(C2="","Celda vacía",IF(C2&gt;1000000,"-","Revisar con Edad"))</f>
        <v>-</v>
      </c>
      <c r="AJ2" s="82">
        <f t="shared" ref="AJ2:AJ57" si="5">IF(D2="","Celda vacía"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</f>
        <v>6</v>
      </c>
      <c r="AK2" s="82" t="str">
        <f t="shared" ref="AK2:AK57" si="6">IF(C2="","Celda vacía",IF(C2="E","-",IF(IF(AJ2=11,0,IF(AJ2=10,"K",AJ2))=D2,"-","Corregir RUN")))</f>
        <v>-</v>
      </c>
      <c r="AL2" s="82" t="str">
        <f t="shared" ref="AL2:AL57" si="7">IF(H2="","Celda vacía",IF(OR(H2="M",H2="H",H2="X"),  IF(H2="M", "Identifica este registro como MUJER",  IF(H2="H","Identifica este registro como HOMBRE", IF(H2="X","Identifica este registro como NO BINARIO"))),  "Validar con Tabla N°01")   )</f>
        <v>Identifica este registro como HOMBRE</v>
      </c>
      <c r="AM2" s="82" t="str">
        <f t="shared" ref="AM2:AM57" si="8">IF(I2="","Celda vacía",IF(ISERROR(VLOOKUP(I2,Tabla_27_Matriz_Base,1,0)),"Revisar","-"))</f>
        <v>-</v>
      </c>
      <c r="AN2" s="82" t="str">
        <f t="shared" ref="AN2:AN57" si="9">IF(J2="","Celda vacía",IF(ISERROR(VLOOKUP(J2,Tabla_04_Sist.Rem,1,0)),"Revisar","-"))</f>
        <v>-</v>
      </c>
      <c r="AO2" s="82" t="str">
        <f t="shared" ref="AO2:AO57" si="10">IF(J2="","SIST_REM vacío, no permite validar estamento",IF(OR(J2=10,J2=40,J2=60,J2=70),IF(ISERROR(VLOOKUP(K2,Tabla_06_10_40_60_70_EUS,1,0)),"Revisar. Estamento no corresponde a sist. Rem.","-"),
IF(AND(A2="l",J2=11,K2="DIRECTIVO"),"Dual",
IF(OR(J2=11,J2=12),IF(ISERROR(VLOOKUP(K2,Tabla_06_11_12_15076_19664,1,0)),"Revisar. Estamento no corresponde a sist. Rem.","-"),
IF(J2=13,IF(ISERROR(VLOOKUP(K2,Tabla_06_13,1,0)),"Revisar. Estamento no corresponde a sist. Rem.","-"),
IF(J2=14,IF(ISERROR(VLOOKUP(K2,Tabla_06_14,1,0)),"Revisar. Estamento no corresponde a sist. Rem.","-"),
IF(J2=15,IF(ISERROR(VLOOKUP(K2,Tabla_06_15,1,0)),"Revisar. Estamento no corresponde a sist. Rem.","-"),
IF(OR(J2=90),IF(ISERROR(VLOOKUP(K2,Tabla_06_90_Personal_Fuera_de_Dotacion,1,0)),"Revisar. Estamento no corresponde a sist. Rem.","-"),
IF(J2=61,IF(ISERROR(VLOOKUP(K2,Tabla_06_DFL29_61_Experimentales,1,0)),"Revisar. Estamento no corresponde a sist. Rem.","-"),IF(J2=20,IF(ISERROR(VLOOKUP(K2,Tabla_06_20_Fiscalizadores,1,0)),"Revisar. Estamento no corresponde a sist. Rem.","-"),IF(J2=80,IF(ISERROR(VLOOKUP(K2,Tabla_06_80_Codigo_del_Trabajo,1,0)),"Revisar. Estamento no corresponde a sist. Rem.","-"),                    IF(J2=30,IF(ISERROR(VLOOKUP(K2,Tabla_06_30_Poder_Judicial,1,0)),"Revisar. Estamento no corresponde a sist. Rem.","-"),IF(ISERROR(VLOOKUP(K2,Tabla_06_50_Ministerio_Publico,1,0)),"Revisar","-")))))))))))))</f>
        <v>-</v>
      </c>
      <c r="AP2" s="57" t="str">
        <f t="shared" ref="AP2:AP57" si="11">IF(L2="","Celda vacía",IF(ISERROR(VLOOKUP(L2,Tabla_Personal,1,0)),"Revisar","-"))</f>
        <v>-</v>
      </c>
      <c r="AQ2" s="86" t="str">
        <f t="shared" ref="AQ2:AQ57" si="12">IF(M2="","Celda vacía",IF(ISERROR(VLOOKUP(M2,Tabla_01_Mes,1,0)),"Revisar","-"))</f>
        <v>-</v>
      </c>
      <c r="AR2" s="86" t="str">
        <f>IF(N2="","PRIMER_DIA en blanco",
IF(AND(M2="01",N2&gt;=L_Conversion!$C$118,N2&lt;=L_Conversion!$D$118),"-",
IF(AND(M2="02",N2&gt;=L_Conversion!$C$119,N2&lt;=L_Conversion!$D$119),"-",
IF(AND(M2="03",N2&gt;=L_Conversion!$C$120,N2&lt;=L_Conversion!$D$120),"-",
IF(AND(M2="04",N2&gt;=L_Conversion!$C$121,N2&lt;=L_Conversion!$D$121),"-",
IF(AND(M2="05",N2&gt;=L_Conversion!$C$122,N2&lt;=L_Conversion!$D$122),"-",
IF(AND(M2="06",N2&gt;=L_Conversion!$C$123,N2&lt;=L_Conversion!$D$123),"-",
IF(AND(M2="07",N2&gt;=L_Conversion!$C$124,N2&lt;=L_Conversion!$D$124),"-",
IF(AND(M2="08",N2&gt;=L_Conversion!$C$125,N2&lt;=L_Conversion!$D$125),"-",
IF(AND(M2="09",N2&gt;=L_Conversion!$C$126,N2&lt;=L_Conversion!$D$126),"-",
IF(AND(M2="10",N2&gt;=L_Conversion!$C$127,N2&lt;=L_Conversion!$D$127),"-",
IF(AND(M2="11",N2&gt;=L_Conversion!$C$128,N2&lt;=L_Conversion!$D$128),"-",
IF(AND(M2="12",N2&gt;=L_Conversion!$C$129,N2&lt;=L_Conversion!$D$129),"-",
IF(AND(M2="13",N2&gt;=L_Conversion!$C$116,N2&lt;=L_Conversion!$D$116),"-",
IF(AND(M2="14",N2&gt;=L_Conversion!$C$117,N2&lt;=L_Conversion!$D$117),"-",
"PRIMER_DIA fuera de rango")))))))))))))))</f>
        <v>-</v>
      </c>
      <c r="AS2" s="86" t="str">
        <f t="shared" ref="AS2:AS57" si="13">IF(O2="","Celda vacía",IF(AND(ISERROR(VLOOKUP(P2,Tabla_18_Tipos_licencias,1,FALSE))=FALSE,O2&gt;=0,O2&lt;=365),IF(P2=8,IF(H2="M",IF(ISERROR(VLOOKUP(O2,Dias_Licencia_Tipo_8_M,1,0)),"Revisar días licencia tipo 8","-"),IF(ISERROR(VLOOKUP(O2,Dias_licencia_tipo_8_H,1,0)),"Revisar días licencia tipo 8","-")),"-"),"Se debe revisar los campos TIPO_LM y N_DIAS"))</f>
        <v>-</v>
      </c>
      <c r="AT2" s="86" t="str">
        <f t="shared" ref="AT2:AT57" si="14">IF(P2="","Celda vacía",IF(ISERROR(VLOOKUP(P2,Tabla_18_Tipos_licencias,1,FALSE))=FALSE,IF(H2="M","-",IF(P2=7,"Revisar","-")),"Revisar"))</f>
        <v>-</v>
      </c>
      <c r="AU2" s="86" t="str">
        <f t="shared" ref="AU2:AU57" si="15">IF(Q2="","Celda vacía",IF(AND(OR(L2="HAG",L2="HONORARIO"),OR(Q2="AUTORIZADO",Q2="REDUCIDO",Q2="RECHAZADO",Q2="PENDIENTE",Q2="AMPLIADO")),"Revisar Calidad Jurídica",IF(AND(OR(L2="HAG",L2="HONORARIO"),Q2="NC"),"-",IF(ISERROR(VLOOKUP(Q2,Tabla_04_Estado_Resolucion,1,0)),"Revisar",IF(AND(Q2="PENDIENTE",($BG$1-N2)&gt;60),"Validar estado PENDIENTE",  IF(AND(OR(L2="CONTRATA",L2="PLANTA", L2="CT", L2="JP", L2="JORNAL", L2="CONTRATA_FD", L2="CT_FD", L2="ADSCRITO", L2="LGN", L2="VIGILANTE", L2="BECARIOS", L2="PLANTA_FD"),Q2&lt;&gt;"NC"),"-","Revisar Calidad Jurídica"))))))</f>
        <v>-</v>
      </c>
      <c r="AV2" s="86" t="str">
        <f t="shared" ref="AV2:AV57" si="16">IF(R2="","Celda vacía",IF(AND(OR(Q2="AUTORIZADO",Q2="PENDIENTE",Q2="NC",Q2="AMPLIADO"),R2="N"),"-",IF(AND(OR(Q2="REDUCIDO",Q2="RECHAZADO"),OR(R2="S",R2="N")),"-","Revisar")))</f>
        <v>-</v>
      </c>
      <c r="AW2" s="86" t="str">
        <f t="shared" ref="AW2:AW57" si="17">IF(Q2="","Celda vacía",IF(AND(R2="N",Q2=S2),"-",IF(AND(S2="PENDIENTE",($BG$1-N2)&gt;60),"Validar estado PENDIENTE",IF(AND(R2="S",OR(S2="AUTORIZADO",S2="PENDIENTE"),T2=O2),"-",IF(AND(R2="S",S2="REDUCIDO",T2&lt;O2,T2&gt;0),"-",IF(AND(R2="S",S2="RECHAZADO",T2=0),"-",IF(AND(Q2="NC",S2="NC",T2=O2),"-","Revisar")))))))</f>
        <v>-</v>
      </c>
      <c r="AX2" s="86" t="str">
        <f t="shared" ref="AX2:AX57" si="18">IF(T2="","Celda Vacía",IF(AND(OR(S2="AUTORIZADO",S2="PENDIENTE",S2="NC"),O2=T2),"-",IF(AND(S2="REDUCIDO",T2&gt;0,T2&lt;O2),"-",IF(AND(S2="RECHAZADO",T2=0),"-",   IF(AND(S2="AMPLIADO",T2&gt;O2),"-",       "Revisar" )))))</f>
        <v>-</v>
      </c>
      <c r="AY2" s="86" t="str">
        <f t="shared" ref="AY2:AY57" si="19">IF(U2="","Celda vacía",IF(OR(U2="S",U2="N"),"-","Revisar"))</f>
        <v>-</v>
      </c>
      <c r="AZ2" s="86" t="str">
        <f t="shared" ref="AZ2:AZ57" si="20">IF(V2="","Celda vacía",IF(OR(V2="S",V2="N"),"-","Revisar"))</f>
        <v>-</v>
      </c>
      <c r="BA2" s="86" t="str">
        <f t="shared" ref="BA2:BA57" si="21">IF(W2="","Celda vacía",IF(OR(W2="S",W2="N"),"-","Revisar"))</f>
        <v>-</v>
      </c>
      <c r="BB2" s="86" t="str">
        <f t="shared" ref="BB2:BB57" si="22">IF(X2="","Celda Vacia",IF(  OR(          AND(X2=0,W2="S"),AND(X2&lt;&gt;0,W2="N")),"Revisar valor del campo MONTO_SUB","-"))</f>
        <v>-</v>
      </c>
      <c r="BC2" s="86" t="str">
        <f t="shared" ref="BC2:BC57" si="23">IF(Y2="","Celda Vacia",IF(ISERROR(VLOOKUP(Y2,Tabla_33_estado_recuperacion,1,FALSE)),"Se debe corregir el valor según Tabla Nro 33",IF(Y2="SDR",IF(OR(S2="RECHAZADO",W2="N"),"-","Se debe revisar  ESTADO SDR"),IF(Y2="PEN",IF(OR(S2="AUTORIZADO",S2="REDUCIDO",S2="PENDIENTE"),"-","Se debe revisar ESTADO PEN"),IF(AND(OR(W2="S",W2="N"),OR(Y2="TOT",Y2="PAR"),OR(S2="AUTORIZADO",S2="REDUCIDO")),"-","Revisar ER2 Y ESTADO_REC")))))</f>
        <v>-</v>
      </c>
      <c r="BD2" s="86" t="str">
        <f t="shared" ref="BD2:BD57" si="24">IF(Z2="","Celda Vacia", IF(Z2&gt;T2,"Dias recuperados no puede ser mayor a dias autorizados", IF(ISNUMBER(Z2)=TRUE,IF(Z2=0,IF(OR(Y2="SDR",Y2="PEN"),"-",IF(AND(T2&lt;4,OR(Y2="TOT",Y2="PAR")),"-","Se debe revisar los Campos N_DIAS_REC y ESTADO_REC")),IF(AND(Z2&gt;0,Z2&lt;366,OR(Y2="TOT",Y2="PAR")),"-","Se debe revisar los campos ESTADO_REC y N_DIAS_REC")),"Valor del campo N_DIAS_REC no es numérico"))    )</f>
        <v>-</v>
      </c>
      <c r="BE2" s="86" t="str">
        <f t="shared" ref="BE2:BE57" si="25">IF(AA2="","Celda vacia",
IF( AND(AA2=0,(OR(Y2="PEN",Y2="SDR"))),"-",
IF(AND(T2&lt;4,OR(P2="5A",P2="5B",P2="6A",P2="6B"),AA2&gt;=0),"-",
IF(AND(T2&lt;4,P2&lt;&gt;"5A",P2&lt;&gt;"5B",P2&lt;&gt;"6A",P2&lt;&gt;"6B",AA2=0),"-",
IF(AND(T2&lt;4,P2&lt;&gt;"5A",P2&lt;&gt;"5B",P2&lt;&gt;"6A",P2&lt;&gt;"6B",V2="S",AA2&gt;=0),"-",
IF(AND(T2&gt;=4,AA2&gt;0, OR(Y2="TOT",Y2="PAR")),"-",
"Revisar el tipo de licencia medica, dias de licencia para el monto de recuperación declarado"))))))</f>
        <v>-</v>
      </c>
      <c r="BF2" s="86" t="str">
        <f t="shared" ref="BF2:BF57" si="26">IF(AB2="","Celda vacia",IF(ISNUMBER(AB2)=TRUE,IF(AB2=0,IF(OR(Y2="PEN",Y2="SDR"),"-","revisar "),IF(OR(Y2="TOT",Y2="PAR"),"-","Revisar")),"Valor del campo no es numérico"))</f>
        <v>-</v>
      </c>
    </row>
    <row r="3" spans="1:59" x14ac:dyDescent="0.2">
      <c r="A3" s="80" t="s">
        <v>1144</v>
      </c>
      <c r="B3" s="92" t="s">
        <v>76</v>
      </c>
      <c r="C3" s="202">
        <v>8478575</v>
      </c>
      <c r="D3" s="203" t="s">
        <v>1151</v>
      </c>
      <c r="E3" s="204" t="s">
        <v>1209</v>
      </c>
      <c r="F3" s="204" t="s">
        <v>1165</v>
      </c>
      <c r="G3" s="204" t="s">
        <v>1192</v>
      </c>
      <c r="H3" s="205" t="s">
        <v>663</v>
      </c>
      <c r="I3" s="205" t="s">
        <v>663</v>
      </c>
      <c r="J3" s="203">
        <v>80</v>
      </c>
      <c r="K3" s="204" t="s">
        <v>567</v>
      </c>
      <c r="L3" s="206" t="s">
        <v>519</v>
      </c>
      <c r="M3" s="210" t="s">
        <v>18</v>
      </c>
      <c r="N3" s="211">
        <v>45658</v>
      </c>
      <c r="O3" s="207">
        <v>12</v>
      </c>
      <c r="P3" s="203">
        <v>1</v>
      </c>
      <c r="Q3" s="205" t="s">
        <v>23</v>
      </c>
      <c r="R3" s="205" t="s">
        <v>11</v>
      </c>
      <c r="S3" s="205" t="s">
        <v>23</v>
      </c>
      <c r="T3" s="207">
        <v>12</v>
      </c>
      <c r="U3" s="208" t="s">
        <v>11</v>
      </c>
      <c r="V3" s="212" t="s">
        <v>11</v>
      </c>
      <c r="W3" s="212" t="s">
        <v>19</v>
      </c>
      <c r="X3" s="209">
        <v>358301</v>
      </c>
      <c r="Y3" s="213" t="s">
        <v>735</v>
      </c>
      <c r="Z3" s="209">
        <v>12</v>
      </c>
      <c r="AA3" s="209">
        <v>358301</v>
      </c>
      <c r="AB3" s="209">
        <v>358301</v>
      </c>
      <c r="AC3" s="178" t="str">
        <f>IF(OR(M3="13",M3="14",P3=8),"",IF(AND(OR(S3="AUTORIZADO", S3="PENDIENTE", S3="REDUCIDO", S3="AMPLIADO"),L3&lt;&gt;"HONORARIO" ), CONCATENATE(IF(H3="X","H",H3),"_",IF(OR(P3=5,P3=6),_xlfn.CONCAT(P3,"A"),P3),"_",VLOOKUP(T3,Datos!$B$2:$C$5,2,TRUE)),""))</f>
        <v>H_1_[11 +]</v>
      </c>
      <c r="AD3" s="178">
        <f t="shared" si="0"/>
        <v>716602</v>
      </c>
      <c r="AE3" s="82" t="str">
        <f t="shared" si="1"/>
        <v>-</v>
      </c>
      <c r="AF3" s="83" t="str">
        <f t="shared" si="2"/>
        <v>070601</v>
      </c>
      <c r="AG3" s="84"/>
      <c r="AH3" s="85" t="str">
        <f t="shared" si="3"/>
        <v>Corporación de Fomento de la Producción</v>
      </c>
      <c r="AI3" s="82" t="str">
        <f t="shared" si="4"/>
        <v>-</v>
      </c>
      <c r="AJ3" s="82" t="str">
        <f t="shared" si="5"/>
        <v>K</v>
      </c>
      <c r="AK3" s="82" t="str">
        <f t="shared" si="6"/>
        <v>-</v>
      </c>
      <c r="AL3" s="82" t="str">
        <f t="shared" si="7"/>
        <v>Identifica este registro como HOMBRE</v>
      </c>
      <c r="AM3" s="82" t="str">
        <f t="shared" si="8"/>
        <v>-</v>
      </c>
      <c r="AN3" s="82" t="str">
        <f t="shared" si="9"/>
        <v>-</v>
      </c>
      <c r="AO3" s="82" t="str">
        <f t="shared" si="10"/>
        <v>-</v>
      </c>
      <c r="AP3" s="57" t="str">
        <f t="shared" si="11"/>
        <v>-</v>
      </c>
      <c r="AQ3" s="86" t="str">
        <f t="shared" si="12"/>
        <v>-</v>
      </c>
      <c r="AR3" s="86" t="str">
        <f>IF(N3="","PRIMER_DIA en blanco",
IF(AND(M3="01",N3&gt;=L_Conversion!$C$118,N3&lt;=L_Conversion!$D$118),"-",
IF(AND(M3="02",N3&gt;=L_Conversion!$C$119,N3&lt;=L_Conversion!$D$119),"-",
IF(AND(M3="03",N3&gt;=L_Conversion!$C$120,N3&lt;=L_Conversion!$D$120),"-",
IF(AND(M3="04",N3&gt;=L_Conversion!$C$121,N3&lt;=L_Conversion!$D$121),"-",
IF(AND(M3="05",N3&gt;=L_Conversion!$C$122,N3&lt;=L_Conversion!$D$122),"-",
IF(AND(M3="06",N3&gt;=L_Conversion!$C$123,N3&lt;=L_Conversion!$D$123),"-",
IF(AND(M3="07",N3&gt;=L_Conversion!$C$124,N3&lt;=L_Conversion!$D$124),"-",
IF(AND(M3="08",N3&gt;=L_Conversion!$C$125,N3&lt;=L_Conversion!$D$125),"-",
IF(AND(M3="09",N3&gt;=L_Conversion!$C$126,N3&lt;=L_Conversion!$D$126),"-",
IF(AND(M3="10",N3&gt;=L_Conversion!$C$127,N3&lt;=L_Conversion!$D$127),"-",
IF(AND(M3="11",N3&gt;=L_Conversion!$C$128,N3&lt;=L_Conversion!$D$128),"-",
IF(AND(M3="12",N3&gt;=L_Conversion!$C$129,N3&lt;=L_Conversion!$D$129),"-",
IF(AND(M3="13",N3&gt;=L_Conversion!$C$116,N3&lt;=L_Conversion!$D$116),"-",
IF(AND(M3="14",N3&gt;=L_Conversion!$C$117,N3&lt;=L_Conversion!$D$117),"-",
"PRIMER_DIA fuera de rango")))))))))))))))</f>
        <v>-</v>
      </c>
      <c r="AS3" s="86" t="str">
        <f t="shared" si="13"/>
        <v>-</v>
      </c>
      <c r="AT3" s="86" t="str">
        <f t="shared" si="14"/>
        <v>-</v>
      </c>
      <c r="AU3" s="86" t="str">
        <f t="shared" si="15"/>
        <v>-</v>
      </c>
      <c r="AV3" s="86" t="str">
        <f t="shared" si="16"/>
        <v>-</v>
      </c>
      <c r="AW3" s="86" t="str">
        <f t="shared" si="17"/>
        <v>-</v>
      </c>
      <c r="AX3" s="86" t="str">
        <f t="shared" si="18"/>
        <v>-</v>
      </c>
      <c r="AY3" s="86" t="str">
        <f t="shared" si="19"/>
        <v>-</v>
      </c>
      <c r="AZ3" s="86" t="str">
        <f t="shared" si="20"/>
        <v>-</v>
      </c>
      <c r="BA3" s="86" t="str">
        <f t="shared" si="21"/>
        <v>-</v>
      </c>
      <c r="BB3" s="86" t="str">
        <f t="shared" si="22"/>
        <v>-</v>
      </c>
      <c r="BC3" s="86" t="str">
        <f t="shared" si="23"/>
        <v>-</v>
      </c>
      <c r="BD3" s="86" t="str">
        <f t="shared" si="24"/>
        <v>-</v>
      </c>
      <c r="BE3" s="86" t="str">
        <f t="shared" si="25"/>
        <v>-</v>
      </c>
      <c r="BF3" s="86" t="str">
        <f t="shared" si="26"/>
        <v>-</v>
      </c>
    </row>
    <row r="4" spans="1:59" x14ac:dyDescent="0.2">
      <c r="A4" s="80" t="s">
        <v>1144</v>
      </c>
      <c r="B4" s="92" t="s">
        <v>76</v>
      </c>
      <c r="C4" s="202">
        <v>17457296</v>
      </c>
      <c r="D4" s="203">
        <v>8</v>
      </c>
      <c r="E4" s="204" t="s">
        <v>1210</v>
      </c>
      <c r="F4" s="204" t="s">
        <v>1211</v>
      </c>
      <c r="G4" s="204" t="s">
        <v>1212</v>
      </c>
      <c r="H4" s="205" t="s">
        <v>1033</v>
      </c>
      <c r="I4" s="205" t="s">
        <v>663</v>
      </c>
      <c r="J4" s="203">
        <v>80</v>
      </c>
      <c r="K4" s="204" t="s">
        <v>563</v>
      </c>
      <c r="L4" s="206" t="s">
        <v>516</v>
      </c>
      <c r="M4" s="210" t="s">
        <v>18</v>
      </c>
      <c r="N4" s="211">
        <v>45659</v>
      </c>
      <c r="O4" s="207">
        <v>6</v>
      </c>
      <c r="P4" s="203">
        <v>7</v>
      </c>
      <c r="Q4" s="205" t="s">
        <v>23</v>
      </c>
      <c r="R4" s="205" t="s">
        <v>11</v>
      </c>
      <c r="S4" s="205" t="s">
        <v>23</v>
      </c>
      <c r="T4" s="207">
        <v>6</v>
      </c>
      <c r="U4" s="208" t="s">
        <v>11</v>
      </c>
      <c r="V4" s="212" t="s">
        <v>11</v>
      </c>
      <c r="W4" s="212" t="s">
        <v>19</v>
      </c>
      <c r="X4" s="209">
        <v>320664</v>
      </c>
      <c r="Y4" s="213" t="s">
        <v>735</v>
      </c>
      <c r="Z4" s="209">
        <v>6</v>
      </c>
      <c r="AA4" s="209">
        <v>320664</v>
      </c>
      <c r="AB4" s="209">
        <v>320664</v>
      </c>
      <c r="AC4" s="178" t="str">
        <f>IF(OR(M4="13",M4="14",P4=8),"",IF(AND(OR(S4="AUTORIZADO", S4="PENDIENTE", S4="REDUCIDO", S4="AMPLIADO"),L4&lt;&gt;"HONORARIO" ), CONCATENATE(IF(H4="X","H",H4),"_",IF(OR(P4=5,P4=6),_xlfn.CONCAT(P4,"A"),P4),"_",VLOOKUP(T4,Datos!$B$2:$C$5,2,TRUE)),""))</f>
        <v>M_7_[4 a 10]</v>
      </c>
      <c r="AD4" s="178">
        <f t="shared" si="0"/>
        <v>641328</v>
      </c>
      <c r="AE4" s="82" t="str">
        <f t="shared" si="1"/>
        <v>-</v>
      </c>
      <c r="AF4" s="83" t="str">
        <f t="shared" si="2"/>
        <v>070601</v>
      </c>
      <c r="AG4" s="84"/>
      <c r="AH4" s="85" t="str">
        <f t="shared" si="3"/>
        <v>Corporación de Fomento de la Producción</v>
      </c>
      <c r="AI4" s="82" t="str">
        <f t="shared" si="4"/>
        <v>-</v>
      </c>
      <c r="AJ4" s="82">
        <f t="shared" si="5"/>
        <v>8</v>
      </c>
      <c r="AK4" s="82" t="str">
        <f t="shared" si="6"/>
        <v>-</v>
      </c>
      <c r="AL4" s="82" t="str">
        <f t="shared" si="7"/>
        <v>Identifica este registro como MUJER</v>
      </c>
      <c r="AM4" s="82" t="str">
        <f t="shared" si="8"/>
        <v>-</v>
      </c>
      <c r="AN4" s="82" t="str">
        <f t="shared" si="9"/>
        <v>-</v>
      </c>
      <c r="AO4" s="82" t="str">
        <f t="shared" si="10"/>
        <v>-</v>
      </c>
      <c r="AP4" s="57" t="str">
        <f t="shared" si="11"/>
        <v>-</v>
      </c>
      <c r="AQ4" s="86" t="str">
        <f t="shared" si="12"/>
        <v>-</v>
      </c>
      <c r="AR4" s="86" t="str">
        <f>IF(N4="","PRIMER_DIA en blanco",
IF(AND(M4="01",N4&gt;=L_Conversion!$C$118,N4&lt;=L_Conversion!$D$118),"-",
IF(AND(M4="02",N4&gt;=L_Conversion!$C$119,N4&lt;=L_Conversion!$D$119),"-",
IF(AND(M4="03",N4&gt;=L_Conversion!$C$120,N4&lt;=L_Conversion!$D$120),"-",
IF(AND(M4="04",N4&gt;=L_Conversion!$C$121,N4&lt;=L_Conversion!$D$121),"-",
IF(AND(M4="05",N4&gt;=L_Conversion!$C$122,N4&lt;=L_Conversion!$D$122),"-",
IF(AND(M4="06",N4&gt;=L_Conversion!$C$123,N4&lt;=L_Conversion!$D$123),"-",
IF(AND(M4="07",N4&gt;=L_Conversion!$C$124,N4&lt;=L_Conversion!$D$124),"-",
IF(AND(M4="08",N4&gt;=L_Conversion!$C$125,N4&lt;=L_Conversion!$D$125),"-",
IF(AND(M4="09",N4&gt;=L_Conversion!$C$126,N4&lt;=L_Conversion!$D$126),"-",
IF(AND(M4="10",N4&gt;=L_Conversion!$C$127,N4&lt;=L_Conversion!$D$127),"-",
IF(AND(M4="11",N4&gt;=L_Conversion!$C$128,N4&lt;=L_Conversion!$D$128),"-",
IF(AND(M4="12",N4&gt;=L_Conversion!$C$129,N4&lt;=L_Conversion!$D$129),"-",
IF(AND(M4="13",N4&gt;=L_Conversion!$C$116,N4&lt;=L_Conversion!$D$116),"-",
IF(AND(M4="14",N4&gt;=L_Conversion!$C$117,N4&lt;=L_Conversion!$D$117),"-",
"PRIMER_DIA fuera de rango")))))))))))))))</f>
        <v>-</v>
      </c>
      <c r="AS4" s="86" t="str">
        <f t="shared" si="13"/>
        <v>-</v>
      </c>
      <c r="AT4" s="86" t="str">
        <f t="shared" si="14"/>
        <v>-</v>
      </c>
      <c r="AU4" s="86" t="str">
        <f t="shared" si="15"/>
        <v>-</v>
      </c>
      <c r="AV4" s="86" t="str">
        <f t="shared" si="16"/>
        <v>-</v>
      </c>
      <c r="AW4" s="86" t="str">
        <f t="shared" si="17"/>
        <v>-</v>
      </c>
      <c r="AX4" s="86" t="str">
        <f t="shared" si="18"/>
        <v>-</v>
      </c>
      <c r="AY4" s="86" t="str">
        <f t="shared" si="19"/>
        <v>-</v>
      </c>
      <c r="AZ4" s="86" t="str">
        <f t="shared" si="20"/>
        <v>-</v>
      </c>
      <c r="BA4" s="86" t="str">
        <f t="shared" si="21"/>
        <v>-</v>
      </c>
      <c r="BB4" s="86" t="str">
        <f t="shared" si="22"/>
        <v>-</v>
      </c>
      <c r="BC4" s="86" t="str">
        <f t="shared" si="23"/>
        <v>-</v>
      </c>
      <c r="BD4" s="86" t="str">
        <f t="shared" si="24"/>
        <v>-</v>
      </c>
      <c r="BE4" s="86" t="str">
        <f t="shared" si="25"/>
        <v>-</v>
      </c>
      <c r="BF4" s="86" t="str">
        <f t="shared" si="26"/>
        <v>-</v>
      </c>
    </row>
    <row r="5" spans="1:59" x14ac:dyDescent="0.2">
      <c r="A5" s="80" t="s">
        <v>1144</v>
      </c>
      <c r="B5" s="92" t="s">
        <v>76</v>
      </c>
      <c r="C5" s="202">
        <v>16871109</v>
      </c>
      <c r="D5" s="203">
        <v>3</v>
      </c>
      <c r="E5" s="204" t="s">
        <v>1213</v>
      </c>
      <c r="F5" s="204" t="s">
        <v>1150</v>
      </c>
      <c r="G5" s="204" t="s">
        <v>1214</v>
      </c>
      <c r="H5" s="205" t="s">
        <v>1033</v>
      </c>
      <c r="I5" s="205" t="s">
        <v>662</v>
      </c>
      <c r="J5" s="203">
        <v>80</v>
      </c>
      <c r="K5" s="204" t="s">
        <v>563</v>
      </c>
      <c r="L5" s="206" t="s">
        <v>502</v>
      </c>
      <c r="M5" s="210" t="s">
        <v>18</v>
      </c>
      <c r="N5" s="211">
        <v>45659</v>
      </c>
      <c r="O5" s="207">
        <v>7</v>
      </c>
      <c r="P5" s="203">
        <v>4</v>
      </c>
      <c r="Q5" s="205" t="s">
        <v>23</v>
      </c>
      <c r="R5" s="205" t="s">
        <v>11</v>
      </c>
      <c r="S5" s="205" t="s">
        <v>23</v>
      </c>
      <c r="T5" s="207">
        <v>7</v>
      </c>
      <c r="U5" s="208" t="s">
        <v>11</v>
      </c>
      <c r="V5" s="212" t="s">
        <v>11</v>
      </c>
      <c r="W5" s="212" t="s">
        <v>19</v>
      </c>
      <c r="X5" s="209">
        <v>1516</v>
      </c>
      <c r="Y5" s="213" t="s">
        <v>735</v>
      </c>
      <c r="Z5" s="209">
        <v>7</v>
      </c>
      <c r="AA5" s="209">
        <v>1516</v>
      </c>
      <c r="AB5" s="209">
        <v>1516</v>
      </c>
      <c r="AC5" s="178" t="str">
        <f>IF(OR(M5="13",M5="14",P5=8),"",IF(AND(OR(S5="AUTORIZADO", S5="PENDIENTE", S5="REDUCIDO", S5="AMPLIADO"),L5&lt;&gt;"HONORARIO" ), CONCATENATE(IF(H5="X","H",H5),"_",IF(OR(P5=5,P5=6),_xlfn.CONCAT(P5,"A"),P5),"_",VLOOKUP(T5,Datos!$B$2:$C$5,2,TRUE)),""))</f>
        <v>M_4_[4 a 10]</v>
      </c>
      <c r="AD5" s="178">
        <f t="shared" si="0"/>
        <v>3032</v>
      </c>
      <c r="AE5" s="82" t="str">
        <f t="shared" si="1"/>
        <v>-</v>
      </c>
      <c r="AF5" s="83" t="str">
        <f t="shared" si="2"/>
        <v>070601</v>
      </c>
      <c r="AG5" s="84"/>
      <c r="AH5" s="85" t="str">
        <f t="shared" si="3"/>
        <v>Corporación de Fomento de la Producción</v>
      </c>
      <c r="AI5" s="82" t="str">
        <f t="shared" si="4"/>
        <v>-</v>
      </c>
      <c r="AJ5" s="82">
        <f t="shared" si="5"/>
        <v>3</v>
      </c>
      <c r="AK5" s="82" t="str">
        <f t="shared" si="6"/>
        <v>-</v>
      </c>
      <c r="AL5" s="82" t="str">
        <f t="shared" si="7"/>
        <v>Identifica este registro como MUJER</v>
      </c>
      <c r="AM5" s="82" t="str">
        <f t="shared" si="8"/>
        <v>-</v>
      </c>
      <c r="AN5" s="82" t="str">
        <f t="shared" si="9"/>
        <v>-</v>
      </c>
      <c r="AO5" s="82" t="str">
        <f t="shared" si="10"/>
        <v>-</v>
      </c>
      <c r="AP5" s="57" t="str">
        <f t="shared" si="11"/>
        <v>-</v>
      </c>
      <c r="AQ5" s="86" t="str">
        <f t="shared" si="12"/>
        <v>-</v>
      </c>
      <c r="AR5" s="86" t="str">
        <f>IF(N5="","PRIMER_DIA en blanco",
IF(AND(M5="01",N5&gt;=L_Conversion!$C$118,N5&lt;=L_Conversion!$D$118),"-",
IF(AND(M5="02",N5&gt;=L_Conversion!$C$119,N5&lt;=L_Conversion!$D$119),"-",
IF(AND(M5="03",N5&gt;=L_Conversion!$C$120,N5&lt;=L_Conversion!$D$120),"-",
IF(AND(M5="04",N5&gt;=L_Conversion!$C$121,N5&lt;=L_Conversion!$D$121),"-",
IF(AND(M5="05",N5&gt;=L_Conversion!$C$122,N5&lt;=L_Conversion!$D$122),"-",
IF(AND(M5="06",N5&gt;=L_Conversion!$C$123,N5&lt;=L_Conversion!$D$123),"-",
IF(AND(M5="07",N5&gt;=L_Conversion!$C$124,N5&lt;=L_Conversion!$D$124),"-",
IF(AND(M5="08",N5&gt;=L_Conversion!$C$125,N5&lt;=L_Conversion!$D$125),"-",
IF(AND(M5="09",N5&gt;=L_Conversion!$C$126,N5&lt;=L_Conversion!$D$126),"-",
IF(AND(M5="10",N5&gt;=L_Conversion!$C$127,N5&lt;=L_Conversion!$D$127),"-",
IF(AND(M5="11",N5&gt;=L_Conversion!$C$128,N5&lt;=L_Conversion!$D$128),"-",
IF(AND(M5="12",N5&gt;=L_Conversion!$C$129,N5&lt;=L_Conversion!$D$129),"-",
IF(AND(M5="13",N5&gt;=L_Conversion!$C$116,N5&lt;=L_Conversion!$D$116),"-",
IF(AND(M5="14",N5&gt;=L_Conversion!$C$117,N5&lt;=L_Conversion!$D$117),"-",
"PRIMER_DIA fuera de rango")))))))))))))))</f>
        <v>-</v>
      </c>
      <c r="AS5" s="86" t="str">
        <f t="shared" si="13"/>
        <v>-</v>
      </c>
      <c r="AT5" s="86" t="str">
        <f t="shared" si="14"/>
        <v>-</v>
      </c>
      <c r="AU5" s="86" t="str">
        <f t="shared" si="15"/>
        <v>-</v>
      </c>
      <c r="AV5" s="86" t="str">
        <f t="shared" si="16"/>
        <v>-</v>
      </c>
      <c r="AW5" s="86" t="str">
        <f t="shared" si="17"/>
        <v>-</v>
      </c>
      <c r="AX5" s="86" t="str">
        <f t="shared" si="18"/>
        <v>-</v>
      </c>
      <c r="AY5" s="86" t="str">
        <f t="shared" si="19"/>
        <v>-</v>
      </c>
      <c r="AZ5" s="86" t="str">
        <f t="shared" si="20"/>
        <v>-</v>
      </c>
      <c r="BA5" s="86" t="str">
        <f t="shared" si="21"/>
        <v>-</v>
      </c>
      <c r="BB5" s="86" t="str">
        <f t="shared" si="22"/>
        <v>-</v>
      </c>
      <c r="BC5" s="86" t="str">
        <f t="shared" si="23"/>
        <v>-</v>
      </c>
      <c r="BD5" s="86" t="str">
        <f t="shared" si="24"/>
        <v>-</v>
      </c>
      <c r="BE5" s="86" t="str">
        <f t="shared" si="25"/>
        <v>-</v>
      </c>
      <c r="BF5" s="86" t="str">
        <f t="shared" si="26"/>
        <v>-</v>
      </c>
    </row>
    <row r="6" spans="1:59" x14ac:dyDescent="0.2">
      <c r="A6" s="80" t="s">
        <v>1144</v>
      </c>
      <c r="B6" s="92" t="s">
        <v>76</v>
      </c>
      <c r="C6" s="202">
        <v>20000162</v>
      </c>
      <c r="D6" s="203">
        <v>1</v>
      </c>
      <c r="E6" s="204" t="s">
        <v>1215</v>
      </c>
      <c r="F6" s="204" t="s">
        <v>1182</v>
      </c>
      <c r="G6" s="204" t="s">
        <v>1216</v>
      </c>
      <c r="H6" s="205" t="s">
        <v>1033</v>
      </c>
      <c r="I6" s="205" t="s">
        <v>662</v>
      </c>
      <c r="J6" s="203">
        <v>80</v>
      </c>
      <c r="K6" s="204" t="s">
        <v>567</v>
      </c>
      <c r="L6" s="206" t="s">
        <v>502</v>
      </c>
      <c r="M6" s="210" t="s">
        <v>18</v>
      </c>
      <c r="N6" s="211">
        <v>45659</v>
      </c>
      <c r="O6" s="207">
        <v>2</v>
      </c>
      <c r="P6" s="203">
        <v>1</v>
      </c>
      <c r="Q6" s="205" t="s">
        <v>23</v>
      </c>
      <c r="R6" s="205" t="s">
        <v>11</v>
      </c>
      <c r="S6" s="205" t="s">
        <v>23</v>
      </c>
      <c r="T6" s="207">
        <v>2</v>
      </c>
      <c r="U6" s="208" t="s">
        <v>11</v>
      </c>
      <c r="V6" s="212" t="s">
        <v>19</v>
      </c>
      <c r="W6" s="212" t="s">
        <v>19</v>
      </c>
      <c r="X6" s="209">
        <v>17055</v>
      </c>
      <c r="Y6" s="213" t="s">
        <v>735</v>
      </c>
      <c r="Z6" s="209">
        <v>2</v>
      </c>
      <c r="AA6" s="209">
        <v>17055</v>
      </c>
      <c r="AB6" s="209">
        <v>17055</v>
      </c>
      <c r="AC6" s="178" t="str">
        <f>IF(OR(M6="13",M6="14",P6=8),"",IF(AND(OR(S6="AUTORIZADO", S6="PENDIENTE", S6="REDUCIDO", S6="AMPLIADO"),L6&lt;&gt;"HONORARIO" ), CONCATENATE(IF(H6="X","H",H6),"_",IF(OR(P6=5,P6=6),_xlfn.CONCAT(P6,"A"),P6),"_",VLOOKUP(T6,Datos!$B$2:$C$5,2,TRUE)),""))</f>
        <v>M_1_[hasta 3]</v>
      </c>
      <c r="AD6" s="178">
        <f t="shared" si="0"/>
        <v>34110</v>
      </c>
      <c r="AE6" s="82" t="str">
        <f t="shared" si="1"/>
        <v>-</v>
      </c>
      <c r="AF6" s="83" t="str">
        <f t="shared" si="2"/>
        <v>070601</v>
      </c>
      <c r="AG6" s="84"/>
      <c r="AH6" s="85" t="str">
        <f t="shared" si="3"/>
        <v>Corporación de Fomento de la Producción</v>
      </c>
      <c r="AI6" s="82" t="str">
        <f t="shared" si="4"/>
        <v>-</v>
      </c>
      <c r="AJ6" s="82">
        <f t="shared" si="5"/>
        <v>1</v>
      </c>
      <c r="AK6" s="82" t="str">
        <f t="shared" si="6"/>
        <v>-</v>
      </c>
      <c r="AL6" s="82" t="str">
        <f t="shared" si="7"/>
        <v>Identifica este registro como MUJER</v>
      </c>
      <c r="AM6" s="82" t="str">
        <f t="shared" si="8"/>
        <v>-</v>
      </c>
      <c r="AN6" s="82" t="str">
        <f t="shared" si="9"/>
        <v>-</v>
      </c>
      <c r="AO6" s="82" t="str">
        <f t="shared" si="10"/>
        <v>-</v>
      </c>
      <c r="AP6" s="57" t="str">
        <f t="shared" si="11"/>
        <v>-</v>
      </c>
      <c r="AQ6" s="86" t="str">
        <f t="shared" si="12"/>
        <v>-</v>
      </c>
      <c r="AR6" s="86" t="str">
        <f>IF(N6="","PRIMER_DIA en blanco",
IF(AND(M6="01",N6&gt;=L_Conversion!$C$118,N6&lt;=L_Conversion!$D$118),"-",
IF(AND(M6="02",N6&gt;=L_Conversion!$C$119,N6&lt;=L_Conversion!$D$119),"-",
IF(AND(M6="03",N6&gt;=L_Conversion!$C$120,N6&lt;=L_Conversion!$D$120),"-",
IF(AND(M6="04",N6&gt;=L_Conversion!$C$121,N6&lt;=L_Conversion!$D$121),"-",
IF(AND(M6="05",N6&gt;=L_Conversion!$C$122,N6&lt;=L_Conversion!$D$122),"-",
IF(AND(M6="06",N6&gt;=L_Conversion!$C$123,N6&lt;=L_Conversion!$D$123),"-",
IF(AND(M6="07",N6&gt;=L_Conversion!$C$124,N6&lt;=L_Conversion!$D$124),"-",
IF(AND(M6="08",N6&gt;=L_Conversion!$C$125,N6&lt;=L_Conversion!$D$125),"-",
IF(AND(M6="09",N6&gt;=L_Conversion!$C$126,N6&lt;=L_Conversion!$D$126),"-",
IF(AND(M6="10",N6&gt;=L_Conversion!$C$127,N6&lt;=L_Conversion!$D$127),"-",
IF(AND(M6="11",N6&gt;=L_Conversion!$C$128,N6&lt;=L_Conversion!$D$128),"-",
IF(AND(M6="12",N6&gt;=L_Conversion!$C$129,N6&lt;=L_Conversion!$D$129),"-",
IF(AND(M6="13",N6&gt;=L_Conversion!$C$116,N6&lt;=L_Conversion!$D$116),"-",
IF(AND(M6="14",N6&gt;=L_Conversion!$C$117,N6&lt;=L_Conversion!$D$117),"-",
"PRIMER_DIA fuera de rango")))))))))))))))</f>
        <v>-</v>
      </c>
      <c r="AS6" s="86" t="str">
        <f t="shared" si="13"/>
        <v>-</v>
      </c>
      <c r="AT6" s="86" t="str">
        <f t="shared" si="14"/>
        <v>-</v>
      </c>
      <c r="AU6" s="86" t="str">
        <f t="shared" si="15"/>
        <v>-</v>
      </c>
      <c r="AV6" s="86" t="str">
        <f t="shared" si="16"/>
        <v>-</v>
      </c>
      <c r="AW6" s="86" t="str">
        <f t="shared" si="17"/>
        <v>-</v>
      </c>
      <c r="AX6" s="86" t="str">
        <f t="shared" si="18"/>
        <v>-</v>
      </c>
      <c r="AY6" s="86" t="str">
        <f t="shared" si="19"/>
        <v>-</v>
      </c>
      <c r="AZ6" s="86" t="str">
        <f t="shared" si="20"/>
        <v>-</v>
      </c>
      <c r="BA6" s="86" t="str">
        <f t="shared" si="21"/>
        <v>-</v>
      </c>
      <c r="BB6" s="86" t="str">
        <f t="shared" si="22"/>
        <v>-</v>
      </c>
      <c r="BC6" s="86" t="str">
        <f t="shared" si="23"/>
        <v>-</v>
      </c>
      <c r="BD6" s="86" t="str">
        <f t="shared" si="24"/>
        <v>-</v>
      </c>
      <c r="BE6" s="86" t="str">
        <f t="shared" si="25"/>
        <v>-</v>
      </c>
      <c r="BF6" s="86" t="str">
        <f t="shared" si="26"/>
        <v>-</v>
      </c>
    </row>
    <row r="7" spans="1:59" x14ac:dyDescent="0.2">
      <c r="A7" s="80" t="s">
        <v>1144</v>
      </c>
      <c r="B7" s="92" t="s">
        <v>76</v>
      </c>
      <c r="C7" s="202">
        <v>19374687</v>
      </c>
      <c r="D7" s="203" t="s">
        <v>1151</v>
      </c>
      <c r="E7" s="204" t="s">
        <v>1217</v>
      </c>
      <c r="F7" s="204" t="s">
        <v>1218</v>
      </c>
      <c r="G7" s="204" t="s">
        <v>1219</v>
      </c>
      <c r="H7" s="205" t="s">
        <v>663</v>
      </c>
      <c r="I7" s="205" t="s">
        <v>662</v>
      </c>
      <c r="J7" s="203">
        <v>80</v>
      </c>
      <c r="K7" s="204" t="s">
        <v>569</v>
      </c>
      <c r="L7" s="206" t="s">
        <v>502</v>
      </c>
      <c r="M7" s="210" t="s">
        <v>18</v>
      </c>
      <c r="N7" s="211">
        <v>45659</v>
      </c>
      <c r="O7" s="207">
        <v>2</v>
      </c>
      <c r="P7" s="203">
        <v>1</v>
      </c>
      <c r="Q7" s="205" t="s">
        <v>23</v>
      </c>
      <c r="R7" s="205" t="s">
        <v>11</v>
      </c>
      <c r="S7" s="205" t="s">
        <v>23</v>
      </c>
      <c r="T7" s="207">
        <v>2</v>
      </c>
      <c r="U7" s="208" t="s">
        <v>11</v>
      </c>
      <c r="V7" s="212" t="s">
        <v>19</v>
      </c>
      <c r="W7" s="212" t="s">
        <v>19</v>
      </c>
      <c r="X7" s="209">
        <v>11843</v>
      </c>
      <c r="Y7" s="213" t="s">
        <v>735</v>
      </c>
      <c r="Z7" s="209">
        <v>2</v>
      </c>
      <c r="AA7" s="209">
        <v>11843</v>
      </c>
      <c r="AB7" s="209">
        <v>11843</v>
      </c>
      <c r="AC7" s="178" t="str">
        <f>IF(OR(M7="13",M7="14",P7=8),"",IF(AND(OR(S7="AUTORIZADO", S7="PENDIENTE", S7="REDUCIDO", S7="AMPLIADO"),L7&lt;&gt;"HONORARIO" ), CONCATENATE(IF(H7="X","H",H7),"_",IF(OR(P7=5,P7=6),_xlfn.CONCAT(P7,"A"),P7),"_",VLOOKUP(T7,Datos!$B$2:$C$5,2,TRUE)),""))</f>
        <v>H_1_[hasta 3]</v>
      </c>
      <c r="AD7" s="178">
        <f t="shared" si="0"/>
        <v>23686</v>
      </c>
      <c r="AE7" s="82" t="str">
        <f t="shared" si="1"/>
        <v>-</v>
      </c>
      <c r="AF7" s="83" t="str">
        <f t="shared" si="2"/>
        <v>070601</v>
      </c>
      <c r="AG7" s="84"/>
      <c r="AH7" s="85" t="str">
        <f t="shared" si="3"/>
        <v>Corporación de Fomento de la Producción</v>
      </c>
      <c r="AI7" s="82" t="str">
        <f t="shared" si="4"/>
        <v>-</v>
      </c>
      <c r="AJ7" s="82" t="str">
        <f t="shared" si="5"/>
        <v>K</v>
      </c>
      <c r="AK7" s="82" t="str">
        <f t="shared" si="6"/>
        <v>-</v>
      </c>
      <c r="AL7" s="82" t="str">
        <f t="shared" si="7"/>
        <v>Identifica este registro como HOMBRE</v>
      </c>
      <c r="AM7" s="82" t="str">
        <f t="shared" si="8"/>
        <v>-</v>
      </c>
      <c r="AN7" s="82" t="str">
        <f t="shared" si="9"/>
        <v>-</v>
      </c>
      <c r="AO7" s="82" t="str">
        <f t="shared" si="10"/>
        <v>-</v>
      </c>
      <c r="AP7" s="57" t="str">
        <f t="shared" si="11"/>
        <v>-</v>
      </c>
      <c r="AQ7" s="86" t="str">
        <f t="shared" si="12"/>
        <v>-</v>
      </c>
      <c r="AR7" s="86" t="str">
        <f>IF(N7="","PRIMER_DIA en blanco",
IF(AND(M7="01",N7&gt;=L_Conversion!$C$118,N7&lt;=L_Conversion!$D$118),"-",
IF(AND(M7="02",N7&gt;=L_Conversion!$C$119,N7&lt;=L_Conversion!$D$119),"-",
IF(AND(M7="03",N7&gt;=L_Conversion!$C$120,N7&lt;=L_Conversion!$D$120),"-",
IF(AND(M7="04",N7&gt;=L_Conversion!$C$121,N7&lt;=L_Conversion!$D$121),"-",
IF(AND(M7="05",N7&gt;=L_Conversion!$C$122,N7&lt;=L_Conversion!$D$122),"-",
IF(AND(M7="06",N7&gt;=L_Conversion!$C$123,N7&lt;=L_Conversion!$D$123),"-",
IF(AND(M7="07",N7&gt;=L_Conversion!$C$124,N7&lt;=L_Conversion!$D$124),"-",
IF(AND(M7="08",N7&gt;=L_Conversion!$C$125,N7&lt;=L_Conversion!$D$125),"-",
IF(AND(M7="09",N7&gt;=L_Conversion!$C$126,N7&lt;=L_Conversion!$D$126),"-",
IF(AND(M7="10",N7&gt;=L_Conversion!$C$127,N7&lt;=L_Conversion!$D$127),"-",
IF(AND(M7="11",N7&gt;=L_Conversion!$C$128,N7&lt;=L_Conversion!$D$128),"-",
IF(AND(M7="12",N7&gt;=L_Conversion!$C$129,N7&lt;=L_Conversion!$D$129),"-",
IF(AND(M7="13",N7&gt;=L_Conversion!$C$116,N7&lt;=L_Conversion!$D$116),"-",
IF(AND(M7="14",N7&gt;=L_Conversion!$C$117,N7&lt;=L_Conversion!$D$117),"-",
"PRIMER_DIA fuera de rango")))))))))))))))</f>
        <v>-</v>
      </c>
      <c r="AS7" s="86" t="str">
        <f t="shared" si="13"/>
        <v>-</v>
      </c>
      <c r="AT7" s="86" t="str">
        <f t="shared" si="14"/>
        <v>-</v>
      </c>
      <c r="AU7" s="86" t="str">
        <f t="shared" si="15"/>
        <v>-</v>
      </c>
      <c r="AV7" s="86" t="str">
        <f t="shared" si="16"/>
        <v>-</v>
      </c>
      <c r="AW7" s="86" t="str">
        <f t="shared" si="17"/>
        <v>-</v>
      </c>
      <c r="AX7" s="86" t="str">
        <f t="shared" si="18"/>
        <v>-</v>
      </c>
      <c r="AY7" s="86" t="str">
        <f t="shared" si="19"/>
        <v>-</v>
      </c>
      <c r="AZ7" s="86" t="str">
        <f t="shared" si="20"/>
        <v>-</v>
      </c>
      <c r="BA7" s="86" t="str">
        <f t="shared" si="21"/>
        <v>-</v>
      </c>
      <c r="BB7" s="86" t="str">
        <f t="shared" si="22"/>
        <v>-</v>
      </c>
      <c r="BC7" s="86" t="str">
        <f t="shared" si="23"/>
        <v>-</v>
      </c>
      <c r="BD7" s="86" t="str">
        <f t="shared" si="24"/>
        <v>-</v>
      </c>
      <c r="BE7" s="86" t="str">
        <f t="shared" si="25"/>
        <v>-</v>
      </c>
      <c r="BF7" s="86" t="str">
        <f t="shared" si="26"/>
        <v>-</v>
      </c>
    </row>
    <row r="8" spans="1:59" x14ac:dyDescent="0.2">
      <c r="A8" s="80" t="s">
        <v>1144</v>
      </c>
      <c r="B8" s="92" t="s">
        <v>1220</v>
      </c>
      <c r="C8" s="202">
        <v>18390363</v>
      </c>
      <c r="D8" s="203">
        <v>2</v>
      </c>
      <c r="E8" s="204" t="s">
        <v>1221</v>
      </c>
      <c r="F8" s="204" t="s">
        <v>1222</v>
      </c>
      <c r="G8" s="204" t="s">
        <v>1223</v>
      </c>
      <c r="H8" s="205" t="s">
        <v>663</v>
      </c>
      <c r="I8" s="205" t="s">
        <v>663</v>
      </c>
      <c r="J8" s="203">
        <v>80</v>
      </c>
      <c r="K8" s="204" t="s">
        <v>563</v>
      </c>
      <c r="L8" s="206" t="s">
        <v>516</v>
      </c>
      <c r="M8" s="210" t="s">
        <v>18</v>
      </c>
      <c r="N8" s="211">
        <v>45659</v>
      </c>
      <c r="O8" s="207">
        <v>2</v>
      </c>
      <c r="P8" s="203">
        <v>1</v>
      </c>
      <c r="Q8" s="205" t="s">
        <v>23</v>
      </c>
      <c r="R8" s="205" t="s">
        <v>11</v>
      </c>
      <c r="S8" s="205" t="s">
        <v>23</v>
      </c>
      <c r="T8" s="207">
        <v>2</v>
      </c>
      <c r="U8" s="208" t="s">
        <v>11</v>
      </c>
      <c r="V8" s="212" t="s">
        <v>19</v>
      </c>
      <c r="W8" s="212" t="s">
        <v>19</v>
      </c>
      <c r="X8" s="209">
        <v>35473</v>
      </c>
      <c r="Y8" s="213" t="s">
        <v>735</v>
      </c>
      <c r="Z8" s="209">
        <v>2</v>
      </c>
      <c r="AA8" s="209">
        <v>35473</v>
      </c>
      <c r="AB8" s="209">
        <v>35473</v>
      </c>
      <c r="AC8" s="178" t="str">
        <f>IF(OR(M8="13",M8="14",P8=8),"",IF(AND(OR(S8="AUTORIZADO", S8="PENDIENTE", S8="REDUCIDO", S8="AMPLIADO"),L8&lt;&gt;"HONORARIO" ), CONCATENATE(IF(H8="X","H",H8),"_",IF(OR(P8=5,P8=6),_xlfn.CONCAT(P8,"A"),P8),"_",VLOOKUP(T8,Datos!$B$2:$C$5,2,TRUE)),""))</f>
        <v>H_1_[hasta 3]</v>
      </c>
      <c r="AD8" s="178">
        <f t="shared" si="0"/>
        <v>70946</v>
      </c>
      <c r="AE8" s="82" t="str">
        <f t="shared" si="1"/>
        <v>-</v>
      </c>
      <c r="AF8" s="83" t="str">
        <f t="shared" si="2"/>
        <v>Revisar</v>
      </c>
      <c r="AG8" s="84"/>
      <c r="AH8" s="85" t="str">
        <f t="shared" si="3"/>
        <v>Corregir código servicio</v>
      </c>
      <c r="AI8" s="82" t="str">
        <f t="shared" si="4"/>
        <v>-</v>
      </c>
      <c r="AJ8" s="82">
        <f t="shared" si="5"/>
        <v>2</v>
      </c>
      <c r="AK8" s="82" t="str">
        <f t="shared" si="6"/>
        <v>-</v>
      </c>
      <c r="AL8" s="82" t="str">
        <f t="shared" si="7"/>
        <v>Identifica este registro como HOMBRE</v>
      </c>
      <c r="AM8" s="82" t="str">
        <f t="shared" si="8"/>
        <v>-</v>
      </c>
      <c r="AN8" s="82" t="str">
        <f t="shared" si="9"/>
        <v>-</v>
      </c>
      <c r="AO8" s="82" t="str">
        <f t="shared" si="10"/>
        <v>-</v>
      </c>
      <c r="AP8" s="57" t="str">
        <f t="shared" si="11"/>
        <v>-</v>
      </c>
      <c r="AQ8" s="86" t="str">
        <f t="shared" si="12"/>
        <v>-</v>
      </c>
      <c r="AR8" s="86" t="str">
        <f>IF(N8="","PRIMER_DIA en blanco",
IF(AND(M8="01",N8&gt;=L_Conversion!$C$118,N8&lt;=L_Conversion!$D$118),"-",
IF(AND(M8="02",N8&gt;=L_Conversion!$C$119,N8&lt;=L_Conversion!$D$119),"-",
IF(AND(M8="03",N8&gt;=L_Conversion!$C$120,N8&lt;=L_Conversion!$D$120),"-",
IF(AND(M8="04",N8&gt;=L_Conversion!$C$121,N8&lt;=L_Conversion!$D$121),"-",
IF(AND(M8="05",N8&gt;=L_Conversion!$C$122,N8&lt;=L_Conversion!$D$122),"-",
IF(AND(M8="06",N8&gt;=L_Conversion!$C$123,N8&lt;=L_Conversion!$D$123),"-",
IF(AND(M8="07",N8&gt;=L_Conversion!$C$124,N8&lt;=L_Conversion!$D$124),"-",
IF(AND(M8="08",N8&gt;=L_Conversion!$C$125,N8&lt;=L_Conversion!$D$125),"-",
IF(AND(M8="09",N8&gt;=L_Conversion!$C$126,N8&lt;=L_Conversion!$D$126),"-",
IF(AND(M8="10",N8&gt;=L_Conversion!$C$127,N8&lt;=L_Conversion!$D$127),"-",
IF(AND(M8="11",N8&gt;=L_Conversion!$C$128,N8&lt;=L_Conversion!$D$128),"-",
IF(AND(M8="12",N8&gt;=L_Conversion!$C$129,N8&lt;=L_Conversion!$D$129),"-",
IF(AND(M8="13",N8&gt;=L_Conversion!$C$116,N8&lt;=L_Conversion!$D$116),"-",
IF(AND(M8="14",N8&gt;=L_Conversion!$C$117,N8&lt;=L_Conversion!$D$117),"-",
"PRIMER_DIA fuera de rango")))))))))))))))</f>
        <v>-</v>
      </c>
      <c r="AS8" s="86" t="str">
        <f t="shared" si="13"/>
        <v>-</v>
      </c>
      <c r="AT8" s="86" t="str">
        <f t="shared" si="14"/>
        <v>-</v>
      </c>
      <c r="AU8" s="86" t="str">
        <f t="shared" si="15"/>
        <v>-</v>
      </c>
      <c r="AV8" s="86" t="str">
        <f t="shared" si="16"/>
        <v>-</v>
      </c>
      <c r="AW8" s="86" t="str">
        <f t="shared" si="17"/>
        <v>-</v>
      </c>
      <c r="AX8" s="86" t="str">
        <f t="shared" si="18"/>
        <v>-</v>
      </c>
      <c r="AY8" s="86" t="str">
        <f t="shared" si="19"/>
        <v>-</v>
      </c>
      <c r="AZ8" s="86" t="str">
        <f t="shared" si="20"/>
        <v>-</v>
      </c>
      <c r="BA8" s="86" t="str">
        <f t="shared" si="21"/>
        <v>-</v>
      </c>
      <c r="BB8" s="86" t="str">
        <f t="shared" si="22"/>
        <v>-</v>
      </c>
      <c r="BC8" s="86" t="str">
        <f t="shared" si="23"/>
        <v>-</v>
      </c>
      <c r="BD8" s="86" t="str">
        <f t="shared" si="24"/>
        <v>-</v>
      </c>
      <c r="BE8" s="86" t="str">
        <f t="shared" si="25"/>
        <v>-</v>
      </c>
      <c r="BF8" s="86" t="str">
        <f t="shared" si="26"/>
        <v>-</v>
      </c>
    </row>
    <row r="9" spans="1:59" x14ac:dyDescent="0.2">
      <c r="A9" s="80" t="s">
        <v>1144</v>
      </c>
      <c r="B9" s="92" t="s">
        <v>76</v>
      </c>
      <c r="C9" s="202">
        <v>9354062</v>
      </c>
      <c r="D9" s="203" t="s">
        <v>1151</v>
      </c>
      <c r="E9" s="204" t="s">
        <v>1224</v>
      </c>
      <c r="F9" s="204" t="s">
        <v>1168</v>
      </c>
      <c r="G9" s="204" t="s">
        <v>1225</v>
      </c>
      <c r="H9" s="205" t="s">
        <v>663</v>
      </c>
      <c r="I9" s="205" t="s">
        <v>662</v>
      </c>
      <c r="J9" s="203">
        <v>60</v>
      </c>
      <c r="K9" s="204" t="s">
        <v>569</v>
      </c>
      <c r="L9" s="206" t="s">
        <v>497</v>
      </c>
      <c r="M9" s="210" t="s">
        <v>18</v>
      </c>
      <c r="N9" s="211">
        <v>45659</v>
      </c>
      <c r="O9" s="207">
        <v>30</v>
      </c>
      <c r="P9" s="203">
        <v>1</v>
      </c>
      <c r="Q9" s="205" t="s">
        <v>23</v>
      </c>
      <c r="R9" s="205" t="s">
        <v>11</v>
      </c>
      <c r="S9" s="205" t="s">
        <v>23</v>
      </c>
      <c r="T9" s="207">
        <v>30</v>
      </c>
      <c r="U9" s="208" t="s">
        <v>11</v>
      </c>
      <c r="V9" s="212" t="s">
        <v>11</v>
      </c>
      <c r="W9" s="212" t="s">
        <v>19</v>
      </c>
      <c r="X9" s="209">
        <v>948588</v>
      </c>
      <c r="Y9" s="213" t="s">
        <v>735</v>
      </c>
      <c r="Z9" s="209">
        <v>30</v>
      </c>
      <c r="AA9" s="209">
        <v>948588</v>
      </c>
      <c r="AB9" s="209">
        <v>948588</v>
      </c>
      <c r="AC9" s="178" t="str">
        <f>IF(OR(M9="13",M9="14",P9=8),"",IF(AND(OR(S9="AUTORIZADO", S9="PENDIENTE", S9="REDUCIDO", S9="AMPLIADO"),L9&lt;&gt;"HONORARIO" ), CONCATENATE(IF(H9="X","H",H9),"_",IF(OR(P9=5,P9=6),_xlfn.CONCAT(P9,"A"),P9),"_",VLOOKUP(T9,Datos!$B$2:$C$5,2,TRUE)),""))</f>
        <v>H_1_[11 +]</v>
      </c>
      <c r="AD9" s="178">
        <f t="shared" si="0"/>
        <v>1897176</v>
      </c>
      <c r="AE9" s="82" t="str">
        <f t="shared" si="1"/>
        <v>-</v>
      </c>
      <c r="AF9" s="83" t="str">
        <f t="shared" si="2"/>
        <v>070601</v>
      </c>
      <c r="AG9" s="84"/>
      <c r="AH9" s="85" t="str">
        <f t="shared" si="3"/>
        <v>Corporación de Fomento de la Producción</v>
      </c>
      <c r="AI9" s="82" t="str">
        <f t="shared" si="4"/>
        <v>-</v>
      </c>
      <c r="AJ9" s="82" t="str">
        <f t="shared" si="5"/>
        <v>K</v>
      </c>
      <c r="AK9" s="82" t="str">
        <f t="shared" si="6"/>
        <v>-</v>
      </c>
      <c r="AL9" s="82" t="str">
        <f t="shared" si="7"/>
        <v>Identifica este registro como HOMBRE</v>
      </c>
      <c r="AM9" s="82" t="str">
        <f t="shared" si="8"/>
        <v>-</v>
      </c>
      <c r="AN9" s="82" t="str">
        <f t="shared" si="9"/>
        <v>-</v>
      </c>
      <c r="AO9" s="82" t="str">
        <f t="shared" si="10"/>
        <v>-</v>
      </c>
      <c r="AP9" s="57" t="str">
        <f t="shared" si="11"/>
        <v>-</v>
      </c>
      <c r="AQ9" s="86" t="str">
        <f t="shared" si="12"/>
        <v>-</v>
      </c>
      <c r="AR9" s="86" t="str">
        <f>IF(N9="","PRIMER_DIA en blanco",
IF(AND(M9="01",N9&gt;=L_Conversion!$C$118,N9&lt;=L_Conversion!$D$118),"-",
IF(AND(M9="02",N9&gt;=L_Conversion!$C$119,N9&lt;=L_Conversion!$D$119),"-",
IF(AND(M9="03",N9&gt;=L_Conversion!$C$120,N9&lt;=L_Conversion!$D$120),"-",
IF(AND(M9="04",N9&gt;=L_Conversion!$C$121,N9&lt;=L_Conversion!$D$121),"-",
IF(AND(M9="05",N9&gt;=L_Conversion!$C$122,N9&lt;=L_Conversion!$D$122),"-",
IF(AND(M9="06",N9&gt;=L_Conversion!$C$123,N9&lt;=L_Conversion!$D$123),"-",
IF(AND(M9="07",N9&gt;=L_Conversion!$C$124,N9&lt;=L_Conversion!$D$124),"-",
IF(AND(M9="08",N9&gt;=L_Conversion!$C$125,N9&lt;=L_Conversion!$D$125),"-",
IF(AND(M9="09",N9&gt;=L_Conversion!$C$126,N9&lt;=L_Conversion!$D$126),"-",
IF(AND(M9="10",N9&gt;=L_Conversion!$C$127,N9&lt;=L_Conversion!$D$127),"-",
IF(AND(M9="11",N9&gt;=L_Conversion!$C$128,N9&lt;=L_Conversion!$D$128),"-",
IF(AND(M9="12",N9&gt;=L_Conversion!$C$129,N9&lt;=L_Conversion!$D$129),"-",
IF(AND(M9="13",N9&gt;=L_Conversion!$C$116,N9&lt;=L_Conversion!$D$116),"-",
IF(AND(M9="14",N9&gt;=L_Conversion!$C$117,N9&lt;=L_Conversion!$D$117),"-",
"PRIMER_DIA fuera de rango")))))))))))))))</f>
        <v>-</v>
      </c>
      <c r="AS9" s="86" t="str">
        <f t="shared" si="13"/>
        <v>-</v>
      </c>
      <c r="AT9" s="86" t="str">
        <f t="shared" si="14"/>
        <v>-</v>
      </c>
      <c r="AU9" s="86" t="str">
        <f t="shared" si="15"/>
        <v>-</v>
      </c>
      <c r="AV9" s="86" t="str">
        <f t="shared" si="16"/>
        <v>-</v>
      </c>
      <c r="AW9" s="86" t="str">
        <f t="shared" si="17"/>
        <v>-</v>
      </c>
      <c r="AX9" s="86" t="str">
        <f t="shared" si="18"/>
        <v>-</v>
      </c>
      <c r="AY9" s="86" t="str">
        <f t="shared" si="19"/>
        <v>-</v>
      </c>
      <c r="AZ9" s="86" t="str">
        <f t="shared" si="20"/>
        <v>-</v>
      </c>
      <c r="BA9" s="86" t="str">
        <f t="shared" si="21"/>
        <v>-</v>
      </c>
      <c r="BB9" s="86" t="str">
        <f t="shared" si="22"/>
        <v>-</v>
      </c>
      <c r="BC9" s="86" t="str">
        <f t="shared" si="23"/>
        <v>-</v>
      </c>
      <c r="BD9" s="86" t="str">
        <f t="shared" si="24"/>
        <v>-</v>
      </c>
      <c r="BE9" s="86" t="str">
        <f t="shared" si="25"/>
        <v>-</v>
      </c>
      <c r="BF9" s="86" t="str">
        <f t="shared" si="26"/>
        <v>-</v>
      </c>
    </row>
    <row r="10" spans="1:59" x14ac:dyDescent="0.2">
      <c r="A10" s="80" t="s">
        <v>1144</v>
      </c>
      <c r="B10" s="92" t="s">
        <v>76</v>
      </c>
      <c r="C10" s="202">
        <v>14423771</v>
      </c>
      <c r="D10" s="203">
        <v>4</v>
      </c>
      <c r="E10" s="204" t="s">
        <v>1226</v>
      </c>
      <c r="F10" s="204" t="s">
        <v>1227</v>
      </c>
      <c r="G10" s="204" t="s">
        <v>1228</v>
      </c>
      <c r="H10" s="205" t="s">
        <v>663</v>
      </c>
      <c r="I10" s="205" t="s">
        <v>662</v>
      </c>
      <c r="J10" s="203">
        <v>80</v>
      </c>
      <c r="K10" s="204" t="s">
        <v>563</v>
      </c>
      <c r="L10" s="206" t="s">
        <v>502</v>
      </c>
      <c r="M10" s="210" t="s">
        <v>18</v>
      </c>
      <c r="N10" s="211">
        <v>45660</v>
      </c>
      <c r="O10" s="207">
        <v>8</v>
      </c>
      <c r="P10" s="203">
        <v>1</v>
      </c>
      <c r="Q10" s="205" t="s">
        <v>23</v>
      </c>
      <c r="R10" s="205" t="s">
        <v>11</v>
      </c>
      <c r="S10" s="205" t="s">
        <v>23</v>
      </c>
      <c r="T10" s="207">
        <v>8</v>
      </c>
      <c r="U10" s="208" t="s">
        <v>11</v>
      </c>
      <c r="V10" s="212" t="s">
        <v>11</v>
      </c>
      <c r="W10" s="212" t="s">
        <v>19</v>
      </c>
      <c r="X10" s="209">
        <v>556655</v>
      </c>
      <c r="Y10" s="213" t="s">
        <v>735</v>
      </c>
      <c r="Z10" s="209">
        <v>8</v>
      </c>
      <c r="AA10" s="209">
        <v>556655</v>
      </c>
      <c r="AB10" s="209">
        <v>556655</v>
      </c>
      <c r="AC10" s="178" t="str">
        <f>IF(OR(M10="13",M10="14",P10=8),"",IF(AND(OR(S10="AUTORIZADO", S10="PENDIENTE", S10="REDUCIDO", S10="AMPLIADO"),L10&lt;&gt;"HONORARIO" ), CONCATENATE(IF(H10="X","H",H10),"_",IF(OR(P10=5,P10=6),_xlfn.CONCAT(P10,"A"),P10),"_",VLOOKUP(T10,Datos!$B$2:$C$5,2,TRUE)),""))</f>
        <v>H_1_[4 a 10]</v>
      </c>
      <c r="AD10" s="178">
        <f t="shared" si="0"/>
        <v>1113310</v>
      </c>
      <c r="AE10" s="82" t="str">
        <f t="shared" si="1"/>
        <v>-</v>
      </c>
      <c r="AF10" s="83" t="str">
        <f t="shared" si="2"/>
        <v>070601</v>
      </c>
      <c r="AG10" s="84"/>
      <c r="AH10" s="85" t="str">
        <f t="shared" si="3"/>
        <v>Corporación de Fomento de la Producción</v>
      </c>
      <c r="AI10" s="82" t="str">
        <f t="shared" si="4"/>
        <v>-</v>
      </c>
      <c r="AJ10" s="82">
        <f t="shared" si="5"/>
        <v>4</v>
      </c>
      <c r="AK10" s="82" t="str">
        <f t="shared" si="6"/>
        <v>-</v>
      </c>
      <c r="AL10" s="82" t="str">
        <f t="shared" si="7"/>
        <v>Identifica este registro como HOMBRE</v>
      </c>
      <c r="AM10" s="82" t="str">
        <f t="shared" si="8"/>
        <v>-</v>
      </c>
      <c r="AN10" s="82" t="str">
        <f t="shared" si="9"/>
        <v>-</v>
      </c>
      <c r="AO10" s="82" t="str">
        <f t="shared" si="10"/>
        <v>-</v>
      </c>
      <c r="AP10" s="57" t="str">
        <f t="shared" si="11"/>
        <v>-</v>
      </c>
      <c r="AQ10" s="86" t="str">
        <f t="shared" si="12"/>
        <v>-</v>
      </c>
      <c r="AR10" s="86" t="str">
        <f>IF(N10="","PRIMER_DIA en blanco",
IF(AND(M10="01",N10&gt;=L_Conversion!$C$118,N10&lt;=L_Conversion!$D$118),"-",
IF(AND(M10="02",N10&gt;=L_Conversion!$C$119,N10&lt;=L_Conversion!$D$119),"-",
IF(AND(M10="03",N10&gt;=L_Conversion!$C$120,N10&lt;=L_Conversion!$D$120),"-",
IF(AND(M10="04",N10&gt;=L_Conversion!$C$121,N10&lt;=L_Conversion!$D$121),"-",
IF(AND(M10="05",N10&gt;=L_Conversion!$C$122,N10&lt;=L_Conversion!$D$122),"-",
IF(AND(M10="06",N10&gt;=L_Conversion!$C$123,N10&lt;=L_Conversion!$D$123),"-",
IF(AND(M10="07",N10&gt;=L_Conversion!$C$124,N10&lt;=L_Conversion!$D$124),"-",
IF(AND(M10="08",N10&gt;=L_Conversion!$C$125,N10&lt;=L_Conversion!$D$125),"-",
IF(AND(M10="09",N10&gt;=L_Conversion!$C$126,N10&lt;=L_Conversion!$D$126),"-",
IF(AND(M10="10",N10&gt;=L_Conversion!$C$127,N10&lt;=L_Conversion!$D$127),"-",
IF(AND(M10="11",N10&gt;=L_Conversion!$C$128,N10&lt;=L_Conversion!$D$128),"-",
IF(AND(M10="12",N10&gt;=L_Conversion!$C$129,N10&lt;=L_Conversion!$D$129),"-",
IF(AND(M10="13",N10&gt;=L_Conversion!$C$116,N10&lt;=L_Conversion!$D$116),"-",
IF(AND(M10="14",N10&gt;=L_Conversion!$C$117,N10&lt;=L_Conversion!$D$117),"-",
"PRIMER_DIA fuera de rango")))))))))))))))</f>
        <v>-</v>
      </c>
      <c r="AS10" s="86" t="str">
        <f t="shared" si="13"/>
        <v>-</v>
      </c>
      <c r="AT10" s="86" t="str">
        <f t="shared" si="14"/>
        <v>-</v>
      </c>
      <c r="AU10" s="86" t="str">
        <f t="shared" si="15"/>
        <v>-</v>
      </c>
      <c r="AV10" s="86" t="str">
        <f t="shared" si="16"/>
        <v>-</v>
      </c>
      <c r="AW10" s="86" t="str">
        <f t="shared" si="17"/>
        <v>-</v>
      </c>
      <c r="AX10" s="86" t="str">
        <f t="shared" si="18"/>
        <v>-</v>
      </c>
      <c r="AY10" s="86" t="str">
        <f t="shared" si="19"/>
        <v>-</v>
      </c>
      <c r="AZ10" s="86" t="str">
        <f t="shared" si="20"/>
        <v>-</v>
      </c>
      <c r="BA10" s="86" t="str">
        <f t="shared" si="21"/>
        <v>-</v>
      </c>
      <c r="BB10" s="86" t="str">
        <f t="shared" si="22"/>
        <v>-</v>
      </c>
      <c r="BC10" s="86" t="str">
        <f t="shared" si="23"/>
        <v>-</v>
      </c>
      <c r="BD10" s="86" t="str">
        <f t="shared" si="24"/>
        <v>-</v>
      </c>
      <c r="BE10" s="86" t="str">
        <f t="shared" si="25"/>
        <v>-</v>
      </c>
      <c r="BF10" s="86" t="str">
        <f t="shared" si="26"/>
        <v>-</v>
      </c>
    </row>
    <row r="11" spans="1:59" x14ac:dyDescent="0.2">
      <c r="A11" s="80" t="s">
        <v>1144</v>
      </c>
      <c r="B11" s="92" t="s">
        <v>76</v>
      </c>
      <c r="C11" s="202">
        <v>12025018</v>
      </c>
      <c r="D11" s="203">
        <v>3</v>
      </c>
      <c r="E11" s="204" t="s">
        <v>1229</v>
      </c>
      <c r="F11" s="204" t="s">
        <v>1152</v>
      </c>
      <c r="G11" s="204" t="s">
        <v>1230</v>
      </c>
      <c r="H11" s="205" t="s">
        <v>1033</v>
      </c>
      <c r="I11" s="205" t="s">
        <v>662</v>
      </c>
      <c r="J11" s="203">
        <v>80</v>
      </c>
      <c r="K11" s="204" t="s">
        <v>561</v>
      </c>
      <c r="L11" s="206" t="s">
        <v>502</v>
      </c>
      <c r="M11" s="210" t="s">
        <v>18</v>
      </c>
      <c r="N11" s="211">
        <v>45660</v>
      </c>
      <c r="O11" s="207">
        <v>21</v>
      </c>
      <c r="P11" s="203">
        <v>1</v>
      </c>
      <c r="Q11" s="205" t="s">
        <v>23</v>
      </c>
      <c r="R11" s="205" t="s">
        <v>11</v>
      </c>
      <c r="S11" s="205" t="s">
        <v>23</v>
      </c>
      <c r="T11" s="207">
        <v>21</v>
      </c>
      <c r="U11" s="208" t="s">
        <v>11</v>
      </c>
      <c r="V11" s="212" t="s">
        <v>11</v>
      </c>
      <c r="W11" s="212" t="s">
        <v>19</v>
      </c>
      <c r="X11" s="209">
        <v>2197741</v>
      </c>
      <c r="Y11" s="213" t="s">
        <v>735</v>
      </c>
      <c r="Z11" s="209">
        <v>21</v>
      </c>
      <c r="AA11" s="209">
        <v>2197741</v>
      </c>
      <c r="AB11" s="209">
        <v>2197741</v>
      </c>
      <c r="AC11" s="178" t="str">
        <f>IF(OR(M11="13",M11="14",P11=8),"",IF(AND(OR(S11="AUTORIZADO", S11="PENDIENTE", S11="REDUCIDO", S11="AMPLIADO"),L11&lt;&gt;"HONORARIO" ), CONCATENATE(IF(H11="X","H",H11),"_",IF(OR(P11=5,P11=6),_xlfn.CONCAT(P11,"A"),P11),"_",VLOOKUP(T11,Datos!$B$2:$C$5,2,TRUE)),""))</f>
        <v>M_1_[11 +]</v>
      </c>
      <c r="AD11" s="178">
        <f t="shared" si="0"/>
        <v>4395482</v>
      </c>
      <c r="AE11" s="82" t="str">
        <f t="shared" si="1"/>
        <v>-</v>
      </c>
      <c r="AF11" s="83" t="str">
        <f t="shared" si="2"/>
        <v>070601</v>
      </c>
      <c r="AG11" s="84"/>
      <c r="AH11" s="85" t="str">
        <f t="shared" si="3"/>
        <v>Corporación de Fomento de la Producción</v>
      </c>
      <c r="AI11" s="82" t="str">
        <f t="shared" si="4"/>
        <v>-</v>
      </c>
      <c r="AJ11" s="82">
        <f t="shared" si="5"/>
        <v>3</v>
      </c>
      <c r="AK11" s="82" t="str">
        <f t="shared" si="6"/>
        <v>-</v>
      </c>
      <c r="AL11" s="82" t="str">
        <f t="shared" si="7"/>
        <v>Identifica este registro como MUJER</v>
      </c>
      <c r="AM11" s="82" t="str">
        <f t="shared" si="8"/>
        <v>-</v>
      </c>
      <c r="AN11" s="82" t="str">
        <f t="shared" si="9"/>
        <v>-</v>
      </c>
      <c r="AO11" s="82" t="str">
        <f t="shared" si="10"/>
        <v>-</v>
      </c>
      <c r="AP11" s="57" t="str">
        <f t="shared" si="11"/>
        <v>-</v>
      </c>
      <c r="AQ11" s="86" t="str">
        <f t="shared" si="12"/>
        <v>-</v>
      </c>
      <c r="AR11" s="86" t="str">
        <f>IF(N11="","PRIMER_DIA en blanco",
IF(AND(M11="01",N11&gt;=L_Conversion!$C$118,N11&lt;=L_Conversion!$D$118),"-",
IF(AND(M11="02",N11&gt;=L_Conversion!$C$119,N11&lt;=L_Conversion!$D$119),"-",
IF(AND(M11="03",N11&gt;=L_Conversion!$C$120,N11&lt;=L_Conversion!$D$120),"-",
IF(AND(M11="04",N11&gt;=L_Conversion!$C$121,N11&lt;=L_Conversion!$D$121),"-",
IF(AND(M11="05",N11&gt;=L_Conversion!$C$122,N11&lt;=L_Conversion!$D$122),"-",
IF(AND(M11="06",N11&gt;=L_Conversion!$C$123,N11&lt;=L_Conversion!$D$123),"-",
IF(AND(M11="07",N11&gt;=L_Conversion!$C$124,N11&lt;=L_Conversion!$D$124),"-",
IF(AND(M11="08",N11&gt;=L_Conversion!$C$125,N11&lt;=L_Conversion!$D$125),"-",
IF(AND(M11="09",N11&gt;=L_Conversion!$C$126,N11&lt;=L_Conversion!$D$126),"-",
IF(AND(M11="10",N11&gt;=L_Conversion!$C$127,N11&lt;=L_Conversion!$D$127),"-",
IF(AND(M11="11",N11&gt;=L_Conversion!$C$128,N11&lt;=L_Conversion!$D$128),"-",
IF(AND(M11="12",N11&gt;=L_Conversion!$C$129,N11&lt;=L_Conversion!$D$129),"-",
IF(AND(M11="13",N11&gt;=L_Conversion!$C$116,N11&lt;=L_Conversion!$D$116),"-",
IF(AND(M11="14",N11&gt;=L_Conversion!$C$117,N11&lt;=L_Conversion!$D$117),"-",
"PRIMER_DIA fuera de rango")))))))))))))))</f>
        <v>-</v>
      </c>
      <c r="AS11" s="86" t="str">
        <f t="shared" si="13"/>
        <v>-</v>
      </c>
      <c r="AT11" s="86" t="str">
        <f t="shared" si="14"/>
        <v>-</v>
      </c>
      <c r="AU11" s="86" t="str">
        <f t="shared" si="15"/>
        <v>-</v>
      </c>
      <c r="AV11" s="86" t="str">
        <f t="shared" si="16"/>
        <v>-</v>
      </c>
      <c r="AW11" s="86" t="str">
        <f t="shared" si="17"/>
        <v>-</v>
      </c>
      <c r="AX11" s="86" t="str">
        <f t="shared" si="18"/>
        <v>-</v>
      </c>
      <c r="AY11" s="86" t="str">
        <f t="shared" si="19"/>
        <v>-</v>
      </c>
      <c r="AZ11" s="86" t="str">
        <f t="shared" si="20"/>
        <v>-</v>
      </c>
      <c r="BA11" s="86" t="str">
        <f t="shared" si="21"/>
        <v>-</v>
      </c>
      <c r="BB11" s="86" t="str">
        <f t="shared" si="22"/>
        <v>-</v>
      </c>
      <c r="BC11" s="86" t="str">
        <f t="shared" si="23"/>
        <v>-</v>
      </c>
      <c r="BD11" s="86" t="str">
        <f t="shared" si="24"/>
        <v>-</v>
      </c>
      <c r="BE11" s="86" t="str">
        <f t="shared" si="25"/>
        <v>-</v>
      </c>
      <c r="BF11" s="86" t="str">
        <f t="shared" si="26"/>
        <v>-</v>
      </c>
    </row>
    <row r="12" spans="1:59" x14ac:dyDescent="0.2">
      <c r="A12" s="80" t="s">
        <v>1144</v>
      </c>
      <c r="B12" s="92" t="s">
        <v>76</v>
      </c>
      <c r="C12" s="202">
        <v>12869864</v>
      </c>
      <c r="D12" s="203">
        <v>7</v>
      </c>
      <c r="E12" s="204" t="s">
        <v>1231</v>
      </c>
      <c r="F12" s="204" t="s">
        <v>1232</v>
      </c>
      <c r="G12" s="204" t="s">
        <v>1233</v>
      </c>
      <c r="H12" s="205" t="s">
        <v>1033</v>
      </c>
      <c r="I12" s="205" t="s">
        <v>662</v>
      </c>
      <c r="J12" s="203">
        <v>80</v>
      </c>
      <c r="K12" s="204" t="s">
        <v>561</v>
      </c>
      <c r="L12" s="206" t="s">
        <v>502</v>
      </c>
      <c r="M12" s="210" t="s">
        <v>18</v>
      </c>
      <c r="N12" s="211">
        <v>45660</v>
      </c>
      <c r="O12" s="207">
        <v>7</v>
      </c>
      <c r="P12" s="203">
        <v>1</v>
      </c>
      <c r="Q12" s="205" t="s">
        <v>23</v>
      </c>
      <c r="R12" s="205" t="s">
        <v>11</v>
      </c>
      <c r="S12" s="205" t="s">
        <v>23</v>
      </c>
      <c r="T12" s="207">
        <v>7</v>
      </c>
      <c r="U12" s="208" t="s">
        <v>11</v>
      </c>
      <c r="V12" s="212" t="s">
        <v>11</v>
      </c>
      <c r="W12" s="212" t="s">
        <v>19</v>
      </c>
      <c r="X12" s="209">
        <v>335764</v>
      </c>
      <c r="Y12" s="213" t="s">
        <v>735</v>
      </c>
      <c r="Z12" s="209">
        <v>7</v>
      </c>
      <c r="AA12" s="209">
        <v>335764</v>
      </c>
      <c r="AB12" s="209">
        <v>335764</v>
      </c>
      <c r="AC12" s="178" t="str">
        <f>IF(OR(M12="13",M12="14",P12=8),"",IF(AND(OR(S12="AUTORIZADO", S12="PENDIENTE", S12="REDUCIDO", S12="AMPLIADO"),L12&lt;&gt;"HONORARIO" ), CONCATENATE(IF(H12="X","H",H12),"_",IF(OR(P12=5,P12=6),_xlfn.CONCAT(P12,"A"),P12),"_",VLOOKUP(T12,Datos!$B$2:$C$5,2,TRUE)),""))</f>
        <v>M_1_[4 a 10]</v>
      </c>
      <c r="AD12" s="178">
        <f t="shared" si="0"/>
        <v>671528</v>
      </c>
      <c r="AE12" s="82" t="str">
        <f t="shared" si="1"/>
        <v>-</v>
      </c>
      <c r="AF12" s="83" t="str">
        <f t="shared" si="2"/>
        <v>070601</v>
      </c>
      <c r="AG12" s="84"/>
      <c r="AH12" s="85" t="str">
        <f t="shared" si="3"/>
        <v>Corporación de Fomento de la Producción</v>
      </c>
      <c r="AI12" s="82" t="str">
        <f t="shared" si="4"/>
        <v>-</v>
      </c>
      <c r="AJ12" s="82">
        <f t="shared" si="5"/>
        <v>7</v>
      </c>
      <c r="AK12" s="82" t="str">
        <f t="shared" si="6"/>
        <v>-</v>
      </c>
      <c r="AL12" s="82" t="str">
        <f t="shared" si="7"/>
        <v>Identifica este registro como MUJER</v>
      </c>
      <c r="AM12" s="82" t="str">
        <f t="shared" si="8"/>
        <v>-</v>
      </c>
      <c r="AN12" s="82" t="str">
        <f t="shared" si="9"/>
        <v>-</v>
      </c>
      <c r="AO12" s="82" t="str">
        <f t="shared" si="10"/>
        <v>-</v>
      </c>
      <c r="AP12" s="57" t="str">
        <f t="shared" si="11"/>
        <v>-</v>
      </c>
      <c r="AQ12" s="86" t="str">
        <f t="shared" si="12"/>
        <v>-</v>
      </c>
      <c r="AR12" s="86" t="str">
        <f>IF(N12="","PRIMER_DIA en blanco",
IF(AND(M12="01",N12&gt;=L_Conversion!$C$118,N12&lt;=L_Conversion!$D$118),"-",
IF(AND(M12="02",N12&gt;=L_Conversion!$C$119,N12&lt;=L_Conversion!$D$119),"-",
IF(AND(M12="03",N12&gt;=L_Conversion!$C$120,N12&lt;=L_Conversion!$D$120),"-",
IF(AND(M12="04",N12&gt;=L_Conversion!$C$121,N12&lt;=L_Conversion!$D$121),"-",
IF(AND(M12="05",N12&gt;=L_Conversion!$C$122,N12&lt;=L_Conversion!$D$122),"-",
IF(AND(M12="06",N12&gt;=L_Conversion!$C$123,N12&lt;=L_Conversion!$D$123),"-",
IF(AND(M12="07",N12&gt;=L_Conversion!$C$124,N12&lt;=L_Conversion!$D$124),"-",
IF(AND(M12="08",N12&gt;=L_Conversion!$C$125,N12&lt;=L_Conversion!$D$125),"-",
IF(AND(M12="09",N12&gt;=L_Conversion!$C$126,N12&lt;=L_Conversion!$D$126),"-",
IF(AND(M12="10",N12&gt;=L_Conversion!$C$127,N12&lt;=L_Conversion!$D$127),"-",
IF(AND(M12="11",N12&gt;=L_Conversion!$C$128,N12&lt;=L_Conversion!$D$128),"-",
IF(AND(M12="12",N12&gt;=L_Conversion!$C$129,N12&lt;=L_Conversion!$D$129),"-",
IF(AND(M12="13",N12&gt;=L_Conversion!$C$116,N12&lt;=L_Conversion!$D$116),"-",
IF(AND(M12="14",N12&gt;=L_Conversion!$C$117,N12&lt;=L_Conversion!$D$117),"-",
"PRIMER_DIA fuera de rango")))))))))))))))</f>
        <v>-</v>
      </c>
      <c r="AS12" s="86" t="str">
        <f t="shared" si="13"/>
        <v>-</v>
      </c>
      <c r="AT12" s="86" t="str">
        <f t="shared" si="14"/>
        <v>-</v>
      </c>
      <c r="AU12" s="86" t="str">
        <f t="shared" si="15"/>
        <v>-</v>
      </c>
      <c r="AV12" s="86" t="str">
        <f t="shared" si="16"/>
        <v>-</v>
      </c>
      <c r="AW12" s="86" t="str">
        <f t="shared" si="17"/>
        <v>-</v>
      </c>
      <c r="AX12" s="86" t="str">
        <f t="shared" si="18"/>
        <v>-</v>
      </c>
      <c r="AY12" s="86" t="str">
        <f t="shared" si="19"/>
        <v>-</v>
      </c>
      <c r="AZ12" s="86" t="str">
        <f t="shared" si="20"/>
        <v>-</v>
      </c>
      <c r="BA12" s="86" t="str">
        <f t="shared" si="21"/>
        <v>-</v>
      </c>
      <c r="BB12" s="86" t="str">
        <f t="shared" si="22"/>
        <v>-</v>
      </c>
      <c r="BC12" s="86" t="str">
        <f t="shared" si="23"/>
        <v>-</v>
      </c>
      <c r="BD12" s="86" t="str">
        <f t="shared" si="24"/>
        <v>-</v>
      </c>
      <c r="BE12" s="86" t="str">
        <f t="shared" si="25"/>
        <v>-</v>
      </c>
      <c r="BF12" s="86" t="str">
        <f t="shared" si="26"/>
        <v>-</v>
      </c>
    </row>
    <row r="13" spans="1:59" x14ac:dyDescent="0.2">
      <c r="A13" s="80" t="s">
        <v>1144</v>
      </c>
      <c r="B13" s="92" t="s">
        <v>678</v>
      </c>
      <c r="C13" s="202">
        <v>15827944</v>
      </c>
      <c r="D13" s="203">
        <v>4</v>
      </c>
      <c r="E13" s="204" t="s">
        <v>1234</v>
      </c>
      <c r="F13" s="204" t="s">
        <v>1235</v>
      </c>
      <c r="G13" s="204" t="s">
        <v>1236</v>
      </c>
      <c r="H13" s="205" t="s">
        <v>663</v>
      </c>
      <c r="I13" s="205" t="s">
        <v>663</v>
      </c>
      <c r="J13" s="203">
        <v>80</v>
      </c>
      <c r="K13" s="204" t="s">
        <v>561</v>
      </c>
      <c r="L13" s="206" t="s">
        <v>516</v>
      </c>
      <c r="M13" s="210" t="s">
        <v>18</v>
      </c>
      <c r="N13" s="211">
        <v>45660</v>
      </c>
      <c r="O13" s="207">
        <v>1</v>
      </c>
      <c r="P13" s="203">
        <v>1</v>
      </c>
      <c r="Q13" s="205" t="s">
        <v>23</v>
      </c>
      <c r="R13" s="205" t="s">
        <v>11</v>
      </c>
      <c r="S13" s="205" t="s">
        <v>23</v>
      </c>
      <c r="T13" s="207">
        <v>1</v>
      </c>
      <c r="U13" s="208" t="s">
        <v>11</v>
      </c>
      <c r="V13" s="212" t="s">
        <v>19</v>
      </c>
      <c r="W13" s="212" t="s">
        <v>19</v>
      </c>
      <c r="X13" s="209">
        <v>20377</v>
      </c>
      <c r="Y13" s="213" t="s">
        <v>735</v>
      </c>
      <c r="Z13" s="209">
        <v>1</v>
      </c>
      <c r="AA13" s="209">
        <v>20377</v>
      </c>
      <c r="AB13" s="209">
        <v>20377</v>
      </c>
      <c r="AC13" s="178" t="str">
        <f>IF(OR(M13="13",M13="14",P13=8),"",IF(AND(OR(S13="AUTORIZADO", S13="PENDIENTE", S13="REDUCIDO", S13="AMPLIADO"),L13&lt;&gt;"HONORARIO" ), CONCATENATE(IF(H13="X","H",H13),"_",IF(OR(P13=5,P13=6),_xlfn.CONCAT(P13,"A"),P13),"_",VLOOKUP(T13,Datos!$B$2:$C$5,2,TRUE)),""))</f>
        <v>H_1_[hasta 3]</v>
      </c>
      <c r="AD13" s="178">
        <f t="shared" si="0"/>
        <v>40754</v>
      </c>
      <c r="AE13" s="82" t="str">
        <f t="shared" si="1"/>
        <v>-</v>
      </c>
      <c r="AF13" s="83" t="str">
        <f t="shared" si="2"/>
        <v>Revisar</v>
      </c>
      <c r="AG13" s="84"/>
      <c r="AH13" s="85" t="str">
        <f t="shared" si="3"/>
        <v>Corporación de Fomento de la Producción</v>
      </c>
      <c r="AI13" s="82" t="str">
        <f t="shared" si="4"/>
        <v>-</v>
      </c>
      <c r="AJ13" s="82">
        <f t="shared" si="5"/>
        <v>4</v>
      </c>
      <c r="AK13" s="82" t="str">
        <f t="shared" si="6"/>
        <v>-</v>
      </c>
      <c r="AL13" s="82" t="str">
        <f t="shared" si="7"/>
        <v>Identifica este registro como HOMBRE</v>
      </c>
      <c r="AM13" s="82" t="str">
        <f t="shared" si="8"/>
        <v>-</v>
      </c>
      <c r="AN13" s="82" t="str">
        <f t="shared" si="9"/>
        <v>-</v>
      </c>
      <c r="AO13" s="82" t="str">
        <f t="shared" si="10"/>
        <v>-</v>
      </c>
      <c r="AP13" s="57" t="str">
        <f t="shared" si="11"/>
        <v>-</v>
      </c>
      <c r="AQ13" s="86" t="str">
        <f t="shared" si="12"/>
        <v>-</v>
      </c>
      <c r="AR13" s="86" t="str">
        <f>IF(N13="","PRIMER_DIA en blanco",
IF(AND(M13="01",N13&gt;=L_Conversion!$C$118,N13&lt;=L_Conversion!$D$118),"-",
IF(AND(M13="02",N13&gt;=L_Conversion!$C$119,N13&lt;=L_Conversion!$D$119),"-",
IF(AND(M13="03",N13&gt;=L_Conversion!$C$120,N13&lt;=L_Conversion!$D$120),"-",
IF(AND(M13="04",N13&gt;=L_Conversion!$C$121,N13&lt;=L_Conversion!$D$121),"-",
IF(AND(M13="05",N13&gt;=L_Conversion!$C$122,N13&lt;=L_Conversion!$D$122),"-",
IF(AND(M13="06",N13&gt;=L_Conversion!$C$123,N13&lt;=L_Conversion!$D$123),"-",
IF(AND(M13="07",N13&gt;=L_Conversion!$C$124,N13&lt;=L_Conversion!$D$124),"-",
IF(AND(M13="08",N13&gt;=L_Conversion!$C$125,N13&lt;=L_Conversion!$D$125),"-",
IF(AND(M13="09",N13&gt;=L_Conversion!$C$126,N13&lt;=L_Conversion!$D$126),"-",
IF(AND(M13="10",N13&gt;=L_Conversion!$C$127,N13&lt;=L_Conversion!$D$127),"-",
IF(AND(M13="11",N13&gt;=L_Conversion!$C$128,N13&lt;=L_Conversion!$D$128),"-",
IF(AND(M13="12",N13&gt;=L_Conversion!$C$129,N13&lt;=L_Conversion!$D$129),"-",
IF(AND(M13="13",N13&gt;=L_Conversion!$C$116,N13&lt;=L_Conversion!$D$116),"-",
IF(AND(M13="14",N13&gt;=L_Conversion!$C$117,N13&lt;=L_Conversion!$D$117),"-",
"PRIMER_DIA fuera de rango")))))))))))))))</f>
        <v>-</v>
      </c>
      <c r="AS13" s="86" t="str">
        <f t="shared" si="13"/>
        <v>-</v>
      </c>
      <c r="AT13" s="86" t="str">
        <f t="shared" si="14"/>
        <v>-</v>
      </c>
      <c r="AU13" s="86" t="str">
        <f t="shared" si="15"/>
        <v>-</v>
      </c>
      <c r="AV13" s="86" t="str">
        <f t="shared" si="16"/>
        <v>-</v>
      </c>
      <c r="AW13" s="86" t="str">
        <f t="shared" si="17"/>
        <v>-</v>
      </c>
      <c r="AX13" s="86" t="str">
        <f t="shared" si="18"/>
        <v>-</v>
      </c>
      <c r="AY13" s="86" t="str">
        <f t="shared" si="19"/>
        <v>-</v>
      </c>
      <c r="AZ13" s="86" t="str">
        <f t="shared" si="20"/>
        <v>-</v>
      </c>
      <c r="BA13" s="86" t="str">
        <f t="shared" si="21"/>
        <v>-</v>
      </c>
      <c r="BB13" s="86" t="str">
        <f t="shared" si="22"/>
        <v>-</v>
      </c>
      <c r="BC13" s="86" t="str">
        <f t="shared" si="23"/>
        <v>-</v>
      </c>
      <c r="BD13" s="86" t="str">
        <f t="shared" si="24"/>
        <v>-</v>
      </c>
      <c r="BE13" s="86" t="str">
        <f t="shared" si="25"/>
        <v>-</v>
      </c>
      <c r="BF13" s="86" t="str">
        <f t="shared" si="26"/>
        <v>-</v>
      </c>
    </row>
    <row r="14" spans="1:59" x14ac:dyDescent="0.2">
      <c r="A14" s="80" t="s">
        <v>1144</v>
      </c>
      <c r="B14" s="92" t="s">
        <v>76</v>
      </c>
      <c r="C14" s="202">
        <v>10122155</v>
      </c>
      <c r="D14" s="203">
        <v>5</v>
      </c>
      <c r="E14" s="204" t="s">
        <v>1237</v>
      </c>
      <c r="F14" s="204" t="s">
        <v>1156</v>
      </c>
      <c r="G14" s="204" t="s">
        <v>1238</v>
      </c>
      <c r="H14" s="205" t="s">
        <v>1033</v>
      </c>
      <c r="I14" s="205" t="s">
        <v>662</v>
      </c>
      <c r="J14" s="203">
        <v>80</v>
      </c>
      <c r="K14" s="204" t="s">
        <v>563</v>
      </c>
      <c r="L14" s="206" t="s">
        <v>502</v>
      </c>
      <c r="M14" s="210" t="s">
        <v>18</v>
      </c>
      <c r="N14" s="211">
        <v>45663</v>
      </c>
      <c r="O14" s="207">
        <v>7</v>
      </c>
      <c r="P14" s="203">
        <v>1</v>
      </c>
      <c r="Q14" s="205" t="s">
        <v>23</v>
      </c>
      <c r="R14" s="205" t="s">
        <v>11</v>
      </c>
      <c r="S14" s="205" t="s">
        <v>23</v>
      </c>
      <c r="T14" s="207">
        <v>7</v>
      </c>
      <c r="U14" s="208" t="s">
        <v>11</v>
      </c>
      <c r="V14" s="212" t="s">
        <v>11</v>
      </c>
      <c r="W14" s="212" t="s">
        <v>19</v>
      </c>
      <c r="X14" s="209">
        <v>276719</v>
      </c>
      <c r="Y14" s="213" t="s">
        <v>735</v>
      </c>
      <c r="Z14" s="209">
        <v>7</v>
      </c>
      <c r="AA14" s="209">
        <v>276719</v>
      </c>
      <c r="AB14" s="209">
        <v>276719</v>
      </c>
      <c r="AC14" s="178" t="str">
        <f>IF(OR(M14="13",M14="14",P14=8),"",IF(AND(OR(S14="AUTORIZADO", S14="PENDIENTE", S14="REDUCIDO", S14="AMPLIADO"),L14&lt;&gt;"HONORARIO" ), CONCATENATE(IF(H14="X","H",H14),"_",IF(OR(P14=5,P14=6),_xlfn.CONCAT(P14,"A"),P14),"_",VLOOKUP(T14,Datos!$B$2:$C$5,2,TRUE)),""))</f>
        <v>M_1_[4 a 10]</v>
      </c>
      <c r="AD14" s="178">
        <f t="shared" si="0"/>
        <v>553438</v>
      </c>
      <c r="AE14" s="82" t="str">
        <f t="shared" si="1"/>
        <v>-</v>
      </c>
      <c r="AF14" s="83" t="str">
        <f t="shared" si="2"/>
        <v>070601</v>
      </c>
      <c r="AG14" s="84"/>
      <c r="AH14" s="85" t="str">
        <f t="shared" si="3"/>
        <v>Corporación de Fomento de la Producción</v>
      </c>
      <c r="AI14" s="82" t="str">
        <f t="shared" si="4"/>
        <v>-</v>
      </c>
      <c r="AJ14" s="82">
        <f t="shared" si="5"/>
        <v>5</v>
      </c>
      <c r="AK14" s="82" t="str">
        <f t="shared" si="6"/>
        <v>-</v>
      </c>
      <c r="AL14" s="82" t="str">
        <f t="shared" si="7"/>
        <v>Identifica este registro como MUJER</v>
      </c>
      <c r="AM14" s="82" t="str">
        <f t="shared" si="8"/>
        <v>-</v>
      </c>
      <c r="AN14" s="82" t="str">
        <f t="shared" si="9"/>
        <v>-</v>
      </c>
      <c r="AO14" s="82" t="str">
        <f t="shared" si="10"/>
        <v>-</v>
      </c>
      <c r="AP14" s="57" t="str">
        <f t="shared" si="11"/>
        <v>-</v>
      </c>
      <c r="AQ14" s="86" t="str">
        <f t="shared" si="12"/>
        <v>-</v>
      </c>
      <c r="AR14" s="86" t="str">
        <f>IF(N14="","PRIMER_DIA en blanco",
IF(AND(M14="01",N14&gt;=L_Conversion!$C$118,N14&lt;=L_Conversion!$D$118),"-",
IF(AND(M14="02",N14&gt;=L_Conversion!$C$119,N14&lt;=L_Conversion!$D$119),"-",
IF(AND(M14="03",N14&gt;=L_Conversion!$C$120,N14&lt;=L_Conversion!$D$120),"-",
IF(AND(M14="04",N14&gt;=L_Conversion!$C$121,N14&lt;=L_Conversion!$D$121),"-",
IF(AND(M14="05",N14&gt;=L_Conversion!$C$122,N14&lt;=L_Conversion!$D$122),"-",
IF(AND(M14="06",N14&gt;=L_Conversion!$C$123,N14&lt;=L_Conversion!$D$123),"-",
IF(AND(M14="07",N14&gt;=L_Conversion!$C$124,N14&lt;=L_Conversion!$D$124),"-",
IF(AND(M14="08",N14&gt;=L_Conversion!$C$125,N14&lt;=L_Conversion!$D$125),"-",
IF(AND(M14="09",N14&gt;=L_Conversion!$C$126,N14&lt;=L_Conversion!$D$126),"-",
IF(AND(M14="10",N14&gt;=L_Conversion!$C$127,N14&lt;=L_Conversion!$D$127),"-",
IF(AND(M14="11",N14&gt;=L_Conversion!$C$128,N14&lt;=L_Conversion!$D$128),"-",
IF(AND(M14="12",N14&gt;=L_Conversion!$C$129,N14&lt;=L_Conversion!$D$129),"-",
IF(AND(M14="13",N14&gt;=L_Conversion!$C$116,N14&lt;=L_Conversion!$D$116),"-",
IF(AND(M14="14",N14&gt;=L_Conversion!$C$117,N14&lt;=L_Conversion!$D$117),"-",
"PRIMER_DIA fuera de rango")))))))))))))))</f>
        <v>-</v>
      </c>
      <c r="AS14" s="86" t="str">
        <f t="shared" si="13"/>
        <v>-</v>
      </c>
      <c r="AT14" s="86" t="str">
        <f t="shared" si="14"/>
        <v>-</v>
      </c>
      <c r="AU14" s="86" t="str">
        <f t="shared" si="15"/>
        <v>-</v>
      </c>
      <c r="AV14" s="86" t="str">
        <f t="shared" si="16"/>
        <v>-</v>
      </c>
      <c r="AW14" s="86" t="str">
        <f t="shared" si="17"/>
        <v>-</v>
      </c>
      <c r="AX14" s="86" t="str">
        <f t="shared" si="18"/>
        <v>-</v>
      </c>
      <c r="AY14" s="86" t="str">
        <f t="shared" si="19"/>
        <v>-</v>
      </c>
      <c r="AZ14" s="86" t="str">
        <f t="shared" si="20"/>
        <v>-</v>
      </c>
      <c r="BA14" s="86" t="str">
        <f t="shared" si="21"/>
        <v>-</v>
      </c>
      <c r="BB14" s="86" t="str">
        <f t="shared" si="22"/>
        <v>-</v>
      </c>
      <c r="BC14" s="86" t="str">
        <f t="shared" si="23"/>
        <v>-</v>
      </c>
      <c r="BD14" s="86" t="str">
        <f t="shared" si="24"/>
        <v>-</v>
      </c>
      <c r="BE14" s="86" t="str">
        <f t="shared" si="25"/>
        <v>-</v>
      </c>
      <c r="BF14" s="86" t="str">
        <f t="shared" si="26"/>
        <v>-</v>
      </c>
    </row>
    <row r="15" spans="1:59" x14ac:dyDescent="0.2">
      <c r="A15" s="80" t="s">
        <v>1144</v>
      </c>
      <c r="B15" s="92" t="s">
        <v>76</v>
      </c>
      <c r="C15" s="202">
        <v>16624463</v>
      </c>
      <c r="D15" s="203">
        <v>3</v>
      </c>
      <c r="E15" s="204" t="s">
        <v>1239</v>
      </c>
      <c r="F15" s="204" t="s">
        <v>1202</v>
      </c>
      <c r="G15" s="204" t="s">
        <v>1240</v>
      </c>
      <c r="H15" s="205" t="s">
        <v>1033</v>
      </c>
      <c r="I15" s="205" t="s">
        <v>662</v>
      </c>
      <c r="J15" s="203">
        <v>80</v>
      </c>
      <c r="K15" s="204" t="s">
        <v>567</v>
      </c>
      <c r="L15" s="206" t="s">
        <v>502</v>
      </c>
      <c r="M15" s="210" t="s">
        <v>18</v>
      </c>
      <c r="N15" s="211">
        <v>45663</v>
      </c>
      <c r="O15" s="207">
        <v>2</v>
      </c>
      <c r="P15" s="203">
        <v>1</v>
      </c>
      <c r="Q15" s="205" t="s">
        <v>23</v>
      </c>
      <c r="R15" s="205" t="s">
        <v>11</v>
      </c>
      <c r="S15" s="205" t="s">
        <v>23</v>
      </c>
      <c r="T15" s="207">
        <v>2</v>
      </c>
      <c r="U15" s="208" t="s">
        <v>11</v>
      </c>
      <c r="V15" s="212" t="s">
        <v>19</v>
      </c>
      <c r="W15" s="212" t="s">
        <v>19</v>
      </c>
      <c r="X15" s="209">
        <v>16861</v>
      </c>
      <c r="Y15" s="213" t="s">
        <v>735</v>
      </c>
      <c r="Z15" s="209">
        <v>2</v>
      </c>
      <c r="AA15" s="209">
        <v>16861</v>
      </c>
      <c r="AB15" s="209">
        <v>16861</v>
      </c>
      <c r="AC15" s="178" t="str">
        <f>IF(OR(M15="13",M15="14",P15=8),"",IF(AND(OR(S15="AUTORIZADO", S15="PENDIENTE", S15="REDUCIDO", S15="AMPLIADO"),L15&lt;&gt;"HONORARIO" ), CONCATENATE(IF(H15="X","H",H15),"_",IF(OR(P15=5,P15=6),_xlfn.CONCAT(P15,"A"),P15),"_",VLOOKUP(T15,Datos!$B$2:$C$5,2,TRUE)),""))</f>
        <v>M_1_[hasta 3]</v>
      </c>
      <c r="AD15" s="178">
        <f t="shared" si="0"/>
        <v>33722</v>
      </c>
      <c r="AE15" s="82" t="str">
        <f t="shared" si="1"/>
        <v>-</v>
      </c>
      <c r="AF15" s="83" t="str">
        <f t="shared" si="2"/>
        <v>070601</v>
      </c>
      <c r="AG15" s="84"/>
      <c r="AH15" s="85" t="str">
        <f t="shared" si="3"/>
        <v>Corporación de Fomento de la Producción</v>
      </c>
      <c r="AI15" s="82" t="str">
        <f t="shared" si="4"/>
        <v>-</v>
      </c>
      <c r="AJ15" s="82">
        <f t="shared" si="5"/>
        <v>3</v>
      </c>
      <c r="AK15" s="82" t="str">
        <f t="shared" si="6"/>
        <v>-</v>
      </c>
      <c r="AL15" s="82" t="str">
        <f t="shared" si="7"/>
        <v>Identifica este registro como MUJER</v>
      </c>
      <c r="AM15" s="82" t="str">
        <f t="shared" si="8"/>
        <v>-</v>
      </c>
      <c r="AN15" s="82" t="str">
        <f t="shared" si="9"/>
        <v>-</v>
      </c>
      <c r="AO15" s="82" t="str">
        <f t="shared" si="10"/>
        <v>-</v>
      </c>
      <c r="AP15" s="57" t="str">
        <f t="shared" si="11"/>
        <v>-</v>
      </c>
      <c r="AQ15" s="86" t="str">
        <f t="shared" si="12"/>
        <v>-</v>
      </c>
      <c r="AR15" s="86" t="str">
        <f>IF(N15="","PRIMER_DIA en blanco",
IF(AND(M15="01",N15&gt;=L_Conversion!$C$118,N15&lt;=L_Conversion!$D$118),"-",
IF(AND(M15="02",N15&gt;=L_Conversion!$C$119,N15&lt;=L_Conversion!$D$119),"-",
IF(AND(M15="03",N15&gt;=L_Conversion!$C$120,N15&lt;=L_Conversion!$D$120),"-",
IF(AND(M15="04",N15&gt;=L_Conversion!$C$121,N15&lt;=L_Conversion!$D$121),"-",
IF(AND(M15="05",N15&gt;=L_Conversion!$C$122,N15&lt;=L_Conversion!$D$122),"-",
IF(AND(M15="06",N15&gt;=L_Conversion!$C$123,N15&lt;=L_Conversion!$D$123),"-",
IF(AND(M15="07",N15&gt;=L_Conversion!$C$124,N15&lt;=L_Conversion!$D$124),"-",
IF(AND(M15="08",N15&gt;=L_Conversion!$C$125,N15&lt;=L_Conversion!$D$125),"-",
IF(AND(M15="09",N15&gt;=L_Conversion!$C$126,N15&lt;=L_Conversion!$D$126),"-",
IF(AND(M15="10",N15&gt;=L_Conversion!$C$127,N15&lt;=L_Conversion!$D$127),"-",
IF(AND(M15="11",N15&gt;=L_Conversion!$C$128,N15&lt;=L_Conversion!$D$128),"-",
IF(AND(M15="12",N15&gt;=L_Conversion!$C$129,N15&lt;=L_Conversion!$D$129),"-",
IF(AND(M15="13",N15&gt;=L_Conversion!$C$116,N15&lt;=L_Conversion!$D$116),"-",
IF(AND(M15="14",N15&gt;=L_Conversion!$C$117,N15&lt;=L_Conversion!$D$117),"-",
"PRIMER_DIA fuera de rango")))))))))))))))</f>
        <v>-</v>
      </c>
      <c r="AS15" s="86" t="str">
        <f t="shared" si="13"/>
        <v>-</v>
      </c>
      <c r="AT15" s="86" t="str">
        <f t="shared" si="14"/>
        <v>-</v>
      </c>
      <c r="AU15" s="86" t="str">
        <f t="shared" si="15"/>
        <v>-</v>
      </c>
      <c r="AV15" s="86" t="str">
        <f t="shared" si="16"/>
        <v>-</v>
      </c>
      <c r="AW15" s="86" t="str">
        <f t="shared" si="17"/>
        <v>-</v>
      </c>
      <c r="AX15" s="86" t="str">
        <f t="shared" si="18"/>
        <v>-</v>
      </c>
      <c r="AY15" s="86" t="str">
        <f t="shared" si="19"/>
        <v>-</v>
      </c>
      <c r="AZ15" s="86" t="str">
        <f t="shared" si="20"/>
        <v>-</v>
      </c>
      <c r="BA15" s="86" t="str">
        <f t="shared" si="21"/>
        <v>-</v>
      </c>
      <c r="BB15" s="86" t="str">
        <f t="shared" si="22"/>
        <v>-</v>
      </c>
      <c r="BC15" s="86" t="str">
        <f t="shared" si="23"/>
        <v>-</v>
      </c>
      <c r="BD15" s="86" t="str">
        <f t="shared" si="24"/>
        <v>-</v>
      </c>
      <c r="BE15" s="86" t="str">
        <f t="shared" si="25"/>
        <v>-</v>
      </c>
      <c r="BF15" s="86" t="str">
        <f t="shared" si="26"/>
        <v>-</v>
      </c>
    </row>
    <row r="16" spans="1:59" x14ac:dyDescent="0.2">
      <c r="A16" s="80" t="s">
        <v>1144</v>
      </c>
      <c r="B16" s="92" t="s">
        <v>76</v>
      </c>
      <c r="C16" s="202">
        <v>15375340</v>
      </c>
      <c r="D16" s="203">
        <v>7</v>
      </c>
      <c r="E16" s="204" t="s">
        <v>1241</v>
      </c>
      <c r="F16" s="204" t="s">
        <v>1242</v>
      </c>
      <c r="G16" s="204" t="s">
        <v>1243</v>
      </c>
      <c r="H16" s="205" t="s">
        <v>1033</v>
      </c>
      <c r="I16" s="205" t="s">
        <v>662</v>
      </c>
      <c r="J16" s="203">
        <v>80</v>
      </c>
      <c r="K16" s="204" t="s">
        <v>563</v>
      </c>
      <c r="L16" s="206" t="s">
        <v>502</v>
      </c>
      <c r="M16" s="210" t="s">
        <v>18</v>
      </c>
      <c r="N16" s="211">
        <v>45663</v>
      </c>
      <c r="O16" s="207">
        <v>30</v>
      </c>
      <c r="P16" s="203">
        <v>1</v>
      </c>
      <c r="Q16" s="205" t="s">
        <v>23</v>
      </c>
      <c r="R16" s="205" t="s">
        <v>11</v>
      </c>
      <c r="S16" s="205" t="s">
        <v>23</v>
      </c>
      <c r="T16" s="207">
        <v>30</v>
      </c>
      <c r="U16" s="208" t="s">
        <v>11</v>
      </c>
      <c r="V16" s="212" t="s">
        <v>11</v>
      </c>
      <c r="W16" s="212" t="s">
        <v>19</v>
      </c>
      <c r="X16" s="209">
        <v>430140</v>
      </c>
      <c r="Y16" s="213" t="s">
        <v>735</v>
      </c>
      <c r="Z16" s="209">
        <v>30</v>
      </c>
      <c r="AA16" s="209">
        <v>430140</v>
      </c>
      <c r="AB16" s="209">
        <v>430140</v>
      </c>
      <c r="AC16" s="178" t="str">
        <f>IF(OR(M16="13",M16="14",P16=8),"",IF(AND(OR(S16="AUTORIZADO", S16="PENDIENTE", S16="REDUCIDO", S16="AMPLIADO"),L16&lt;&gt;"HONORARIO" ), CONCATENATE(IF(H16="X","H",H16),"_",IF(OR(P16=5,P16=6),_xlfn.CONCAT(P16,"A"),P16),"_",VLOOKUP(T16,Datos!$B$2:$C$5,2,TRUE)),""))</f>
        <v>M_1_[11 +]</v>
      </c>
      <c r="AD16" s="178">
        <f t="shared" si="0"/>
        <v>860280</v>
      </c>
      <c r="AE16" s="82" t="str">
        <f t="shared" si="1"/>
        <v>-</v>
      </c>
      <c r="AF16" s="83" t="str">
        <f t="shared" si="2"/>
        <v>070601</v>
      </c>
      <c r="AG16" s="84"/>
      <c r="AH16" s="85" t="str">
        <f t="shared" si="3"/>
        <v>Corporación de Fomento de la Producción</v>
      </c>
      <c r="AI16" s="82" t="str">
        <f t="shared" si="4"/>
        <v>-</v>
      </c>
      <c r="AJ16" s="82">
        <f t="shared" si="5"/>
        <v>7</v>
      </c>
      <c r="AK16" s="82" t="str">
        <f t="shared" si="6"/>
        <v>-</v>
      </c>
      <c r="AL16" s="82" t="str">
        <f t="shared" si="7"/>
        <v>Identifica este registro como MUJER</v>
      </c>
      <c r="AM16" s="82" t="str">
        <f t="shared" si="8"/>
        <v>-</v>
      </c>
      <c r="AN16" s="82" t="str">
        <f t="shared" si="9"/>
        <v>-</v>
      </c>
      <c r="AO16" s="82" t="str">
        <f t="shared" si="10"/>
        <v>-</v>
      </c>
      <c r="AP16" s="57" t="str">
        <f t="shared" si="11"/>
        <v>-</v>
      </c>
      <c r="AQ16" s="86" t="str">
        <f t="shared" si="12"/>
        <v>-</v>
      </c>
      <c r="AR16" s="86" t="str">
        <f>IF(N16="","PRIMER_DIA en blanco",
IF(AND(M16="01",N16&gt;=L_Conversion!$C$118,N16&lt;=L_Conversion!$D$118),"-",
IF(AND(M16="02",N16&gt;=L_Conversion!$C$119,N16&lt;=L_Conversion!$D$119),"-",
IF(AND(M16="03",N16&gt;=L_Conversion!$C$120,N16&lt;=L_Conversion!$D$120),"-",
IF(AND(M16="04",N16&gt;=L_Conversion!$C$121,N16&lt;=L_Conversion!$D$121),"-",
IF(AND(M16="05",N16&gt;=L_Conversion!$C$122,N16&lt;=L_Conversion!$D$122),"-",
IF(AND(M16="06",N16&gt;=L_Conversion!$C$123,N16&lt;=L_Conversion!$D$123),"-",
IF(AND(M16="07",N16&gt;=L_Conversion!$C$124,N16&lt;=L_Conversion!$D$124),"-",
IF(AND(M16="08",N16&gt;=L_Conversion!$C$125,N16&lt;=L_Conversion!$D$125),"-",
IF(AND(M16="09",N16&gt;=L_Conversion!$C$126,N16&lt;=L_Conversion!$D$126),"-",
IF(AND(M16="10",N16&gt;=L_Conversion!$C$127,N16&lt;=L_Conversion!$D$127),"-",
IF(AND(M16="11",N16&gt;=L_Conversion!$C$128,N16&lt;=L_Conversion!$D$128),"-",
IF(AND(M16="12",N16&gt;=L_Conversion!$C$129,N16&lt;=L_Conversion!$D$129),"-",
IF(AND(M16="13",N16&gt;=L_Conversion!$C$116,N16&lt;=L_Conversion!$D$116),"-",
IF(AND(M16="14",N16&gt;=L_Conversion!$C$117,N16&lt;=L_Conversion!$D$117),"-",
"PRIMER_DIA fuera de rango")))))))))))))))</f>
        <v>-</v>
      </c>
      <c r="AS16" s="86" t="str">
        <f t="shared" si="13"/>
        <v>-</v>
      </c>
      <c r="AT16" s="86" t="str">
        <f t="shared" si="14"/>
        <v>-</v>
      </c>
      <c r="AU16" s="86" t="str">
        <f t="shared" si="15"/>
        <v>-</v>
      </c>
      <c r="AV16" s="86" t="str">
        <f t="shared" si="16"/>
        <v>-</v>
      </c>
      <c r="AW16" s="86" t="str">
        <f t="shared" si="17"/>
        <v>-</v>
      </c>
      <c r="AX16" s="86" t="str">
        <f t="shared" si="18"/>
        <v>-</v>
      </c>
      <c r="AY16" s="86" t="str">
        <f t="shared" si="19"/>
        <v>-</v>
      </c>
      <c r="AZ16" s="86" t="str">
        <f t="shared" si="20"/>
        <v>-</v>
      </c>
      <c r="BA16" s="86" t="str">
        <f t="shared" si="21"/>
        <v>-</v>
      </c>
      <c r="BB16" s="86" t="str">
        <f t="shared" si="22"/>
        <v>-</v>
      </c>
      <c r="BC16" s="86" t="str">
        <f t="shared" si="23"/>
        <v>-</v>
      </c>
      <c r="BD16" s="86" t="str">
        <f t="shared" si="24"/>
        <v>-</v>
      </c>
      <c r="BE16" s="86" t="str">
        <f t="shared" si="25"/>
        <v>-</v>
      </c>
      <c r="BF16" s="86" t="str">
        <f t="shared" si="26"/>
        <v>-</v>
      </c>
    </row>
    <row r="17" spans="1:58" x14ac:dyDescent="0.2">
      <c r="A17" s="80" t="s">
        <v>1144</v>
      </c>
      <c r="B17" s="92" t="s">
        <v>76</v>
      </c>
      <c r="C17" s="202">
        <v>15952148</v>
      </c>
      <c r="D17" s="203">
        <v>6</v>
      </c>
      <c r="E17" s="204" t="s">
        <v>1179</v>
      </c>
      <c r="F17" s="204" t="s">
        <v>1146</v>
      </c>
      <c r="G17" s="204" t="s">
        <v>1244</v>
      </c>
      <c r="H17" s="205" t="s">
        <v>1033</v>
      </c>
      <c r="I17" s="205" t="s">
        <v>662</v>
      </c>
      <c r="J17" s="203">
        <v>80</v>
      </c>
      <c r="K17" s="204" t="s">
        <v>563</v>
      </c>
      <c r="L17" s="206" t="s">
        <v>502</v>
      </c>
      <c r="M17" s="210" t="s">
        <v>18</v>
      </c>
      <c r="N17" s="211">
        <v>45663</v>
      </c>
      <c r="O17" s="207">
        <v>14</v>
      </c>
      <c r="P17" s="203">
        <v>1</v>
      </c>
      <c r="Q17" s="205" t="s">
        <v>23</v>
      </c>
      <c r="R17" s="205" t="s">
        <v>11</v>
      </c>
      <c r="S17" s="205" t="s">
        <v>23</v>
      </c>
      <c r="T17" s="207">
        <v>14</v>
      </c>
      <c r="U17" s="208" t="s">
        <v>11</v>
      </c>
      <c r="V17" s="212" t="s">
        <v>11</v>
      </c>
      <c r="W17" s="212" t="s">
        <v>19</v>
      </c>
      <c r="X17" s="209">
        <v>1328139</v>
      </c>
      <c r="Y17" s="213" t="s">
        <v>735</v>
      </c>
      <c r="Z17" s="209">
        <v>14</v>
      </c>
      <c r="AA17" s="209">
        <v>1328139</v>
      </c>
      <c r="AB17" s="209">
        <v>1328139</v>
      </c>
      <c r="AC17" s="178" t="str">
        <f>IF(OR(M17="13",M17="14",P17=8),"",IF(AND(OR(S17="AUTORIZADO", S17="PENDIENTE", S17="REDUCIDO", S17="AMPLIADO"),L17&lt;&gt;"HONORARIO" ), CONCATENATE(IF(H17="X","H",H17),"_",IF(OR(P17=5,P17=6),_xlfn.CONCAT(P17,"A"),P17),"_",VLOOKUP(T17,Datos!$B$2:$C$5,2,TRUE)),""))</f>
        <v>M_1_[11 +]</v>
      </c>
      <c r="AD17" s="178">
        <f t="shared" si="0"/>
        <v>2656278</v>
      </c>
      <c r="AE17" s="82" t="str">
        <f t="shared" si="1"/>
        <v>-</v>
      </c>
      <c r="AF17" s="83" t="str">
        <f t="shared" si="2"/>
        <v>070601</v>
      </c>
      <c r="AG17" s="84"/>
      <c r="AH17" s="85" t="str">
        <f t="shared" si="3"/>
        <v>Corporación de Fomento de la Producción</v>
      </c>
      <c r="AI17" s="82" t="str">
        <f t="shared" si="4"/>
        <v>-</v>
      </c>
      <c r="AJ17" s="82">
        <f t="shared" si="5"/>
        <v>6</v>
      </c>
      <c r="AK17" s="82" t="str">
        <f t="shared" si="6"/>
        <v>-</v>
      </c>
      <c r="AL17" s="82" t="str">
        <f t="shared" si="7"/>
        <v>Identifica este registro como MUJER</v>
      </c>
      <c r="AM17" s="82" t="str">
        <f t="shared" si="8"/>
        <v>-</v>
      </c>
      <c r="AN17" s="82" t="str">
        <f t="shared" si="9"/>
        <v>-</v>
      </c>
      <c r="AO17" s="82" t="str">
        <f t="shared" si="10"/>
        <v>-</v>
      </c>
      <c r="AP17" s="57" t="str">
        <f t="shared" si="11"/>
        <v>-</v>
      </c>
      <c r="AQ17" s="86" t="str">
        <f t="shared" si="12"/>
        <v>-</v>
      </c>
      <c r="AR17" s="86" t="str">
        <f>IF(N17="","PRIMER_DIA en blanco",
IF(AND(M17="01",N17&gt;=L_Conversion!$C$118,N17&lt;=L_Conversion!$D$118),"-",
IF(AND(M17="02",N17&gt;=L_Conversion!$C$119,N17&lt;=L_Conversion!$D$119),"-",
IF(AND(M17="03",N17&gt;=L_Conversion!$C$120,N17&lt;=L_Conversion!$D$120),"-",
IF(AND(M17="04",N17&gt;=L_Conversion!$C$121,N17&lt;=L_Conversion!$D$121),"-",
IF(AND(M17="05",N17&gt;=L_Conversion!$C$122,N17&lt;=L_Conversion!$D$122),"-",
IF(AND(M17="06",N17&gt;=L_Conversion!$C$123,N17&lt;=L_Conversion!$D$123),"-",
IF(AND(M17="07",N17&gt;=L_Conversion!$C$124,N17&lt;=L_Conversion!$D$124),"-",
IF(AND(M17="08",N17&gt;=L_Conversion!$C$125,N17&lt;=L_Conversion!$D$125),"-",
IF(AND(M17="09",N17&gt;=L_Conversion!$C$126,N17&lt;=L_Conversion!$D$126),"-",
IF(AND(M17="10",N17&gt;=L_Conversion!$C$127,N17&lt;=L_Conversion!$D$127),"-",
IF(AND(M17="11",N17&gt;=L_Conversion!$C$128,N17&lt;=L_Conversion!$D$128),"-",
IF(AND(M17="12",N17&gt;=L_Conversion!$C$129,N17&lt;=L_Conversion!$D$129),"-",
IF(AND(M17="13",N17&gt;=L_Conversion!$C$116,N17&lt;=L_Conversion!$D$116),"-",
IF(AND(M17="14",N17&gt;=L_Conversion!$C$117,N17&lt;=L_Conversion!$D$117),"-",
"PRIMER_DIA fuera de rango")))))))))))))))</f>
        <v>-</v>
      </c>
      <c r="AS17" s="86" t="str">
        <f t="shared" si="13"/>
        <v>-</v>
      </c>
      <c r="AT17" s="86" t="str">
        <f t="shared" si="14"/>
        <v>-</v>
      </c>
      <c r="AU17" s="86" t="str">
        <f t="shared" si="15"/>
        <v>-</v>
      </c>
      <c r="AV17" s="86" t="str">
        <f t="shared" si="16"/>
        <v>-</v>
      </c>
      <c r="AW17" s="86" t="str">
        <f t="shared" si="17"/>
        <v>-</v>
      </c>
      <c r="AX17" s="86" t="str">
        <f t="shared" si="18"/>
        <v>-</v>
      </c>
      <c r="AY17" s="86" t="str">
        <f t="shared" si="19"/>
        <v>-</v>
      </c>
      <c r="AZ17" s="86" t="str">
        <f t="shared" si="20"/>
        <v>-</v>
      </c>
      <c r="BA17" s="86" t="str">
        <f t="shared" si="21"/>
        <v>-</v>
      </c>
      <c r="BB17" s="86" t="str">
        <f t="shared" si="22"/>
        <v>-</v>
      </c>
      <c r="BC17" s="86" t="str">
        <f t="shared" si="23"/>
        <v>-</v>
      </c>
      <c r="BD17" s="86" t="str">
        <f t="shared" si="24"/>
        <v>-</v>
      </c>
      <c r="BE17" s="86" t="str">
        <f t="shared" si="25"/>
        <v>-</v>
      </c>
      <c r="BF17" s="86" t="str">
        <f t="shared" si="26"/>
        <v>-</v>
      </c>
    </row>
    <row r="18" spans="1:58" x14ac:dyDescent="0.2">
      <c r="A18" s="80" t="s">
        <v>1144</v>
      </c>
      <c r="B18" s="92" t="s">
        <v>76</v>
      </c>
      <c r="C18" s="202">
        <v>15753474</v>
      </c>
      <c r="D18" s="203">
        <v>2</v>
      </c>
      <c r="E18" s="204" t="s">
        <v>1245</v>
      </c>
      <c r="F18" s="204" t="s">
        <v>1246</v>
      </c>
      <c r="G18" s="204" t="s">
        <v>1247</v>
      </c>
      <c r="H18" s="205" t="s">
        <v>663</v>
      </c>
      <c r="I18" s="205" t="s">
        <v>662</v>
      </c>
      <c r="J18" s="203">
        <v>80</v>
      </c>
      <c r="K18" s="204" t="s">
        <v>563</v>
      </c>
      <c r="L18" s="206" t="s">
        <v>502</v>
      </c>
      <c r="M18" s="210" t="s">
        <v>18</v>
      </c>
      <c r="N18" s="211">
        <v>45663</v>
      </c>
      <c r="O18" s="207">
        <v>7</v>
      </c>
      <c r="P18" s="203">
        <v>1</v>
      </c>
      <c r="Q18" s="205" t="s">
        <v>23</v>
      </c>
      <c r="R18" s="205" t="s">
        <v>11</v>
      </c>
      <c r="S18" s="205" t="s">
        <v>23</v>
      </c>
      <c r="T18" s="207">
        <v>7</v>
      </c>
      <c r="U18" s="208" t="s">
        <v>11</v>
      </c>
      <c r="V18" s="212" t="s">
        <v>11</v>
      </c>
      <c r="W18" s="212" t="s">
        <v>19</v>
      </c>
      <c r="X18" s="209">
        <v>475377</v>
      </c>
      <c r="Y18" s="213" t="s">
        <v>735</v>
      </c>
      <c r="Z18" s="209">
        <v>7</v>
      </c>
      <c r="AA18" s="209">
        <v>475377</v>
      </c>
      <c r="AB18" s="209">
        <v>475377</v>
      </c>
      <c r="AC18" s="178" t="str">
        <f>IF(OR(M18="13",M18="14",P18=8),"",IF(AND(OR(S18="AUTORIZADO", S18="PENDIENTE", S18="REDUCIDO", S18="AMPLIADO"),L18&lt;&gt;"HONORARIO" ), CONCATENATE(IF(H18="X","H",H18),"_",IF(OR(P18=5,P18=6),_xlfn.CONCAT(P18,"A"),P18),"_",VLOOKUP(T18,Datos!$B$2:$C$5,2,TRUE)),""))</f>
        <v>H_1_[4 a 10]</v>
      </c>
      <c r="AD18" s="178">
        <f t="shared" si="0"/>
        <v>950754</v>
      </c>
      <c r="AE18" s="82" t="str">
        <f t="shared" si="1"/>
        <v>-</v>
      </c>
      <c r="AF18" s="83" t="str">
        <f t="shared" si="2"/>
        <v>070601</v>
      </c>
      <c r="AG18" s="84"/>
      <c r="AH18" s="85" t="str">
        <f t="shared" si="3"/>
        <v>Corporación de Fomento de la Producción</v>
      </c>
      <c r="AI18" s="82" t="str">
        <f t="shared" si="4"/>
        <v>-</v>
      </c>
      <c r="AJ18" s="82">
        <f t="shared" si="5"/>
        <v>2</v>
      </c>
      <c r="AK18" s="82" t="str">
        <f t="shared" si="6"/>
        <v>-</v>
      </c>
      <c r="AL18" s="82" t="str">
        <f t="shared" si="7"/>
        <v>Identifica este registro como HOMBRE</v>
      </c>
      <c r="AM18" s="82" t="str">
        <f t="shared" si="8"/>
        <v>-</v>
      </c>
      <c r="AN18" s="82" t="str">
        <f t="shared" si="9"/>
        <v>-</v>
      </c>
      <c r="AO18" s="82" t="str">
        <f t="shared" si="10"/>
        <v>-</v>
      </c>
      <c r="AP18" s="57" t="str">
        <f t="shared" si="11"/>
        <v>-</v>
      </c>
      <c r="AQ18" s="86" t="str">
        <f t="shared" si="12"/>
        <v>-</v>
      </c>
      <c r="AR18" s="86" t="str">
        <f>IF(N18="","PRIMER_DIA en blanco",
IF(AND(M18="01",N18&gt;=L_Conversion!$C$118,N18&lt;=L_Conversion!$D$118),"-",
IF(AND(M18="02",N18&gt;=L_Conversion!$C$119,N18&lt;=L_Conversion!$D$119),"-",
IF(AND(M18="03",N18&gt;=L_Conversion!$C$120,N18&lt;=L_Conversion!$D$120),"-",
IF(AND(M18="04",N18&gt;=L_Conversion!$C$121,N18&lt;=L_Conversion!$D$121),"-",
IF(AND(M18="05",N18&gt;=L_Conversion!$C$122,N18&lt;=L_Conversion!$D$122),"-",
IF(AND(M18="06",N18&gt;=L_Conversion!$C$123,N18&lt;=L_Conversion!$D$123),"-",
IF(AND(M18="07",N18&gt;=L_Conversion!$C$124,N18&lt;=L_Conversion!$D$124),"-",
IF(AND(M18="08",N18&gt;=L_Conversion!$C$125,N18&lt;=L_Conversion!$D$125),"-",
IF(AND(M18="09",N18&gt;=L_Conversion!$C$126,N18&lt;=L_Conversion!$D$126),"-",
IF(AND(M18="10",N18&gt;=L_Conversion!$C$127,N18&lt;=L_Conversion!$D$127),"-",
IF(AND(M18="11",N18&gt;=L_Conversion!$C$128,N18&lt;=L_Conversion!$D$128),"-",
IF(AND(M18="12",N18&gt;=L_Conversion!$C$129,N18&lt;=L_Conversion!$D$129),"-",
IF(AND(M18="13",N18&gt;=L_Conversion!$C$116,N18&lt;=L_Conversion!$D$116),"-",
IF(AND(M18="14",N18&gt;=L_Conversion!$C$117,N18&lt;=L_Conversion!$D$117),"-",
"PRIMER_DIA fuera de rango")))))))))))))))</f>
        <v>-</v>
      </c>
      <c r="AS18" s="86" t="str">
        <f t="shared" si="13"/>
        <v>-</v>
      </c>
      <c r="AT18" s="86" t="str">
        <f t="shared" si="14"/>
        <v>-</v>
      </c>
      <c r="AU18" s="86" t="str">
        <f t="shared" si="15"/>
        <v>-</v>
      </c>
      <c r="AV18" s="86" t="str">
        <f t="shared" si="16"/>
        <v>-</v>
      </c>
      <c r="AW18" s="86" t="str">
        <f t="shared" si="17"/>
        <v>-</v>
      </c>
      <c r="AX18" s="86" t="str">
        <f t="shared" si="18"/>
        <v>-</v>
      </c>
      <c r="AY18" s="86" t="str">
        <f t="shared" si="19"/>
        <v>-</v>
      </c>
      <c r="AZ18" s="86" t="str">
        <f t="shared" si="20"/>
        <v>-</v>
      </c>
      <c r="BA18" s="86" t="str">
        <f t="shared" si="21"/>
        <v>-</v>
      </c>
      <c r="BB18" s="86" t="str">
        <f t="shared" si="22"/>
        <v>-</v>
      </c>
      <c r="BC18" s="86" t="str">
        <f t="shared" si="23"/>
        <v>-</v>
      </c>
      <c r="BD18" s="86" t="str">
        <f t="shared" si="24"/>
        <v>-</v>
      </c>
      <c r="BE18" s="86" t="str">
        <f t="shared" si="25"/>
        <v>-</v>
      </c>
      <c r="BF18" s="86" t="str">
        <f t="shared" si="26"/>
        <v>-</v>
      </c>
    </row>
    <row r="19" spans="1:58" x14ac:dyDescent="0.2">
      <c r="A19" s="80" t="s">
        <v>1144</v>
      </c>
      <c r="B19" s="92" t="s">
        <v>678</v>
      </c>
      <c r="C19" s="202">
        <v>13434311</v>
      </c>
      <c r="D19" s="203">
        <v>7</v>
      </c>
      <c r="E19" s="204" t="s">
        <v>1248</v>
      </c>
      <c r="F19" s="204" t="s">
        <v>1249</v>
      </c>
      <c r="G19" s="204" t="s">
        <v>1223</v>
      </c>
      <c r="H19" s="205" t="s">
        <v>663</v>
      </c>
      <c r="I19" s="205" t="s">
        <v>663</v>
      </c>
      <c r="J19" s="203">
        <v>80</v>
      </c>
      <c r="K19" s="204" t="s">
        <v>563</v>
      </c>
      <c r="L19" s="206" t="s">
        <v>516</v>
      </c>
      <c r="M19" s="210" t="s">
        <v>18</v>
      </c>
      <c r="N19" s="211">
        <v>45663</v>
      </c>
      <c r="O19" s="207">
        <v>1</v>
      </c>
      <c r="P19" s="203">
        <v>1</v>
      </c>
      <c r="Q19" s="205" t="s">
        <v>23</v>
      </c>
      <c r="R19" s="205" t="s">
        <v>11</v>
      </c>
      <c r="S19" s="205" t="s">
        <v>23</v>
      </c>
      <c r="T19" s="207">
        <v>1</v>
      </c>
      <c r="U19" s="208" t="s">
        <v>11</v>
      </c>
      <c r="V19" s="212" t="s">
        <v>19</v>
      </c>
      <c r="W19" s="212" t="s">
        <v>19</v>
      </c>
      <c r="X19" s="209">
        <v>26275</v>
      </c>
      <c r="Y19" s="213" t="s">
        <v>735</v>
      </c>
      <c r="Z19" s="209">
        <v>1</v>
      </c>
      <c r="AA19" s="209">
        <v>26275</v>
      </c>
      <c r="AB19" s="209">
        <v>26275</v>
      </c>
      <c r="AC19" s="178" t="str">
        <f>IF(OR(M19="13",M19="14",P19=8),"",IF(AND(OR(S19="AUTORIZADO", S19="PENDIENTE", S19="REDUCIDO", S19="AMPLIADO"),L19&lt;&gt;"HONORARIO" ), CONCATENATE(IF(H19="X","H",H19),"_",IF(OR(P19=5,P19=6),_xlfn.CONCAT(P19,"A"),P19),"_",VLOOKUP(T19,Datos!$B$2:$C$5,2,TRUE)),""))</f>
        <v>H_1_[hasta 3]</v>
      </c>
      <c r="AD19" s="178">
        <f t="shared" si="0"/>
        <v>52550</v>
      </c>
      <c r="AE19" s="82" t="str">
        <f t="shared" si="1"/>
        <v>-</v>
      </c>
      <c r="AF19" s="83" t="str">
        <f t="shared" si="2"/>
        <v>Revisar</v>
      </c>
      <c r="AG19" s="84"/>
      <c r="AH19" s="85" t="str">
        <f t="shared" si="3"/>
        <v>Corporación de Fomento de la Producción</v>
      </c>
      <c r="AI19" s="82" t="str">
        <f t="shared" si="4"/>
        <v>-</v>
      </c>
      <c r="AJ19" s="82">
        <f t="shared" si="5"/>
        <v>7</v>
      </c>
      <c r="AK19" s="82" t="str">
        <f t="shared" si="6"/>
        <v>-</v>
      </c>
      <c r="AL19" s="82" t="str">
        <f t="shared" si="7"/>
        <v>Identifica este registro como HOMBRE</v>
      </c>
      <c r="AM19" s="82" t="str">
        <f t="shared" si="8"/>
        <v>-</v>
      </c>
      <c r="AN19" s="82" t="str">
        <f t="shared" si="9"/>
        <v>-</v>
      </c>
      <c r="AO19" s="82" t="str">
        <f t="shared" si="10"/>
        <v>-</v>
      </c>
      <c r="AP19" s="57" t="str">
        <f t="shared" si="11"/>
        <v>-</v>
      </c>
      <c r="AQ19" s="86" t="str">
        <f t="shared" si="12"/>
        <v>-</v>
      </c>
      <c r="AR19" s="86" t="str">
        <f>IF(N19="","PRIMER_DIA en blanco",
IF(AND(M19="01",N19&gt;=L_Conversion!$C$118,N19&lt;=L_Conversion!$D$118),"-",
IF(AND(M19="02",N19&gt;=L_Conversion!$C$119,N19&lt;=L_Conversion!$D$119),"-",
IF(AND(M19="03",N19&gt;=L_Conversion!$C$120,N19&lt;=L_Conversion!$D$120),"-",
IF(AND(M19="04",N19&gt;=L_Conversion!$C$121,N19&lt;=L_Conversion!$D$121),"-",
IF(AND(M19="05",N19&gt;=L_Conversion!$C$122,N19&lt;=L_Conversion!$D$122),"-",
IF(AND(M19="06",N19&gt;=L_Conversion!$C$123,N19&lt;=L_Conversion!$D$123),"-",
IF(AND(M19="07",N19&gt;=L_Conversion!$C$124,N19&lt;=L_Conversion!$D$124),"-",
IF(AND(M19="08",N19&gt;=L_Conversion!$C$125,N19&lt;=L_Conversion!$D$125),"-",
IF(AND(M19="09",N19&gt;=L_Conversion!$C$126,N19&lt;=L_Conversion!$D$126),"-",
IF(AND(M19="10",N19&gt;=L_Conversion!$C$127,N19&lt;=L_Conversion!$D$127),"-",
IF(AND(M19="11",N19&gt;=L_Conversion!$C$128,N19&lt;=L_Conversion!$D$128),"-",
IF(AND(M19="12",N19&gt;=L_Conversion!$C$129,N19&lt;=L_Conversion!$D$129),"-",
IF(AND(M19="13",N19&gt;=L_Conversion!$C$116,N19&lt;=L_Conversion!$D$116),"-",
IF(AND(M19="14",N19&gt;=L_Conversion!$C$117,N19&lt;=L_Conversion!$D$117),"-",
"PRIMER_DIA fuera de rango")))))))))))))))</f>
        <v>-</v>
      </c>
      <c r="AS19" s="86" t="str">
        <f t="shared" si="13"/>
        <v>-</v>
      </c>
      <c r="AT19" s="86" t="str">
        <f t="shared" si="14"/>
        <v>-</v>
      </c>
      <c r="AU19" s="86" t="str">
        <f t="shared" si="15"/>
        <v>-</v>
      </c>
      <c r="AV19" s="86" t="str">
        <f t="shared" si="16"/>
        <v>-</v>
      </c>
      <c r="AW19" s="86" t="str">
        <f t="shared" si="17"/>
        <v>-</v>
      </c>
      <c r="AX19" s="86" t="str">
        <f t="shared" si="18"/>
        <v>-</v>
      </c>
      <c r="AY19" s="86" t="str">
        <f t="shared" si="19"/>
        <v>-</v>
      </c>
      <c r="AZ19" s="86" t="str">
        <f t="shared" si="20"/>
        <v>-</v>
      </c>
      <c r="BA19" s="86" t="str">
        <f t="shared" si="21"/>
        <v>-</v>
      </c>
      <c r="BB19" s="86" t="str">
        <f t="shared" si="22"/>
        <v>-</v>
      </c>
      <c r="BC19" s="86" t="str">
        <f t="shared" si="23"/>
        <v>-</v>
      </c>
      <c r="BD19" s="86" t="str">
        <f t="shared" si="24"/>
        <v>-</v>
      </c>
      <c r="BE19" s="86" t="str">
        <f t="shared" si="25"/>
        <v>-</v>
      </c>
      <c r="BF19" s="86" t="str">
        <f t="shared" si="26"/>
        <v>-</v>
      </c>
    </row>
    <row r="20" spans="1:58" x14ac:dyDescent="0.2">
      <c r="A20" s="80" t="s">
        <v>1144</v>
      </c>
      <c r="B20" s="92" t="s">
        <v>678</v>
      </c>
      <c r="C20" s="202">
        <v>16923344</v>
      </c>
      <c r="D20" s="203">
        <v>6</v>
      </c>
      <c r="E20" s="204" t="s">
        <v>1250</v>
      </c>
      <c r="F20" s="204" t="s">
        <v>1179</v>
      </c>
      <c r="G20" s="204" t="s">
        <v>1251</v>
      </c>
      <c r="H20" s="205" t="s">
        <v>1033</v>
      </c>
      <c r="I20" s="205" t="s">
        <v>663</v>
      </c>
      <c r="J20" s="203">
        <v>80</v>
      </c>
      <c r="K20" s="204" t="s">
        <v>563</v>
      </c>
      <c r="L20" s="206" t="s">
        <v>516</v>
      </c>
      <c r="M20" s="210" t="s">
        <v>18</v>
      </c>
      <c r="N20" s="211">
        <v>45663</v>
      </c>
      <c r="O20" s="207">
        <v>1</v>
      </c>
      <c r="P20" s="203">
        <v>1</v>
      </c>
      <c r="Q20" s="205" t="s">
        <v>23</v>
      </c>
      <c r="R20" s="205" t="s">
        <v>11</v>
      </c>
      <c r="S20" s="205" t="s">
        <v>23</v>
      </c>
      <c r="T20" s="207">
        <v>1</v>
      </c>
      <c r="U20" s="208" t="s">
        <v>11</v>
      </c>
      <c r="V20" s="212" t="s">
        <v>19</v>
      </c>
      <c r="W20" s="212" t="s">
        <v>19</v>
      </c>
      <c r="X20" s="209">
        <v>20033</v>
      </c>
      <c r="Y20" s="213" t="s">
        <v>735</v>
      </c>
      <c r="Z20" s="209">
        <v>1</v>
      </c>
      <c r="AA20" s="209">
        <v>20033</v>
      </c>
      <c r="AB20" s="209">
        <v>20033</v>
      </c>
      <c r="AC20" s="178" t="str">
        <f>IF(OR(M20="13",M20="14",P20=8),"",IF(AND(OR(S20="AUTORIZADO", S20="PENDIENTE", S20="REDUCIDO", S20="AMPLIADO"),L20&lt;&gt;"HONORARIO" ), CONCATENATE(IF(H20="X","H",H20),"_",IF(OR(P20=5,P20=6),_xlfn.CONCAT(P20,"A"),P20),"_",VLOOKUP(T20,Datos!$B$2:$C$5,2,TRUE)),""))</f>
        <v>M_1_[hasta 3]</v>
      </c>
      <c r="AD20" s="178">
        <f t="shared" si="0"/>
        <v>40066</v>
      </c>
      <c r="AE20" s="82" t="str">
        <f t="shared" si="1"/>
        <v>-</v>
      </c>
      <c r="AF20" s="83" t="str">
        <f t="shared" si="2"/>
        <v>Revisar</v>
      </c>
      <c r="AG20" s="84"/>
      <c r="AH20" s="85" t="str">
        <f t="shared" si="3"/>
        <v>Corporación de Fomento de la Producción</v>
      </c>
      <c r="AI20" s="82" t="str">
        <f t="shared" si="4"/>
        <v>-</v>
      </c>
      <c r="AJ20" s="82">
        <f t="shared" si="5"/>
        <v>6</v>
      </c>
      <c r="AK20" s="82" t="str">
        <f t="shared" si="6"/>
        <v>-</v>
      </c>
      <c r="AL20" s="82" t="str">
        <f t="shared" si="7"/>
        <v>Identifica este registro como MUJER</v>
      </c>
      <c r="AM20" s="82" t="str">
        <f t="shared" si="8"/>
        <v>-</v>
      </c>
      <c r="AN20" s="82" t="str">
        <f t="shared" si="9"/>
        <v>-</v>
      </c>
      <c r="AO20" s="82" t="str">
        <f t="shared" si="10"/>
        <v>-</v>
      </c>
      <c r="AP20" s="57" t="str">
        <f t="shared" si="11"/>
        <v>-</v>
      </c>
      <c r="AQ20" s="86" t="str">
        <f t="shared" si="12"/>
        <v>-</v>
      </c>
      <c r="AR20" s="86" t="str">
        <f>IF(N20="","PRIMER_DIA en blanco",
IF(AND(M20="01",N20&gt;=L_Conversion!$C$118,N20&lt;=L_Conversion!$D$118),"-",
IF(AND(M20="02",N20&gt;=L_Conversion!$C$119,N20&lt;=L_Conversion!$D$119),"-",
IF(AND(M20="03",N20&gt;=L_Conversion!$C$120,N20&lt;=L_Conversion!$D$120),"-",
IF(AND(M20="04",N20&gt;=L_Conversion!$C$121,N20&lt;=L_Conversion!$D$121),"-",
IF(AND(M20="05",N20&gt;=L_Conversion!$C$122,N20&lt;=L_Conversion!$D$122),"-",
IF(AND(M20="06",N20&gt;=L_Conversion!$C$123,N20&lt;=L_Conversion!$D$123),"-",
IF(AND(M20="07",N20&gt;=L_Conversion!$C$124,N20&lt;=L_Conversion!$D$124),"-",
IF(AND(M20="08",N20&gt;=L_Conversion!$C$125,N20&lt;=L_Conversion!$D$125),"-",
IF(AND(M20="09",N20&gt;=L_Conversion!$C$126,N20&lt;=L_Conversion!$D$126),"-",
IF(AND(M20="10",N20&gt;=L_Conversion!$C$127,N20&lt;=L_Conversion!$D$127),"-",
IF(AND(M20="11",N20&gt;=L_Conversion!$C$128,N20&lt;=L_Conversion!$D$128),"-",
IF(AND(M20="12",N20&gt;=L_Conversion!$C$129,N20&lt;=L_Conversion!$D$129),"-",
IF(AND(M20="13",N20&gt;=L_Conversion!$C$116,N20&lt;=L_Conversion!$D$116),"-",
IF(AND(M20="14",N20&gt;=L_Conversion!$C$117,N20&lt;=L_Conversion!$D$117),"-",
"PRIMER_DIA fuera de rango")))))))))))))))</f>
        <v>-</v>
      </c>
      <c r="AS20" s="86" t="str">
        <f t="shared" si="13"/>
        <v>-</v>
      </c>
      <c r="AT20" s="86" t="str">
        <f t="shared" si="14"/>
        <v>-</v>
      </c>
      <c r="AU20" s="86" t="str">
        <f t="shared" si="15"/>
        <v>-</v>
      </c>
      <c r="AV20" s="86" t="str">
        <f t="shared" si="16"/>
        <v>-</v>
      </c>
      <c r="AW20" s="86" t="str">
        <f t="shared" si="17"/>
        <v>-</v>
      </c>
      <c r="AX20" s="86" t="str">
        <f t="shared" si="18"/>
        <v>-</v>
      </c>
      <c r="AY20" s="86" t="str">
        <f t="shared" si="19"/>
        <v>-</v>
      </c>
      <c r="AZ20" s="86" t="str">
        <f t="shared" si="20"/>
        <v>-</v>
      </c>
      <c r="BA20" s="86" t="str">
        <f t="shared" si="21"/>
        <v>-</v>
      </c>
      <c r="BB20" s="86" t="str">
        <f t="shared" si="22"/>
        <v>-</v>
      </c>
      <c r="BC20" s="86" t="str">
        <f t="shared" si="23"/>
        <v>-</v>
      </c>
      <c r="BD20" s="86" t="str">
        <f t="shared" si="24"/>
        <v>-</v>
      </c>
      <c r="BE20" s="86" t="str">
        <f t="shared" si="25"/>
        <v>-</v>
      </c>
      <c r="BF20" s="86" t="str">
        <f t="shared" si="26"/>
        <v>-</v>
      </c>
    </row>
    <row r="21" spans="1:58" x14ac:dyDescent="0.2">
      <c r="A21" s="80" t="s">
        <v>1144</v>
      </c>
      <c r="B21" s="92" t="s">
        <v>1252</v>
      </c>
      <c r="C21" s="202">
        <v>17072798</v>
      </c>
      <c r="D21" s="203">
        <v>3</v>
      </c>
      <c r="E21" s="204" t="s">
        <v>1253</v>
      </c>
      <c r="F21" s="204" t="s">
        <v>1224</v>
      </c>
      <c r="G21" s="204" t="s">
        <v>1254</v>
      </c>
      <c r="H21" s="205" t="s">
        <v>663</v>
      </c>
      <c r="I21" s="205" t="s">
        <v>663</v>
      </c>
      <c r="J21" s="203">
        <v>80</v>
      </c>
      <c r="K21" s="204" t="s">
        <v>563</v>
      </c>
      <c r="L21" s="206" t="s">
        <v>516</v>
      </c>
      <c r="M21" s="210" t="s">
        <v>18</v>
      </c>
      <c r="N21" s="211">
        <v>45663</v>
      </c>
      <c r="O21" s="207">
        <v>30</v>
      </c>
      <c r="P21" s="203">
        <v>1</v>
      </c>
      <c r="Q21" s="205" t="s">
        <v>23</v>
      </c>
      <c r="R21" s="205" t="s">
        <v>11</v>
      </c>
      <c r="S21" s="205" t="s">
        <v>23</v>
      </c>
      <c r="T21" s="207">
        <v>30</v>
      </c>
      <c r="U21" s="208" t="s">
        <v>11</v>
      </c>
      <c r="V21" s="212" t="s">
        <v>11</v>
      </c>
      <c r="W21" s="212" t="s">
        <v>19</v>
      </c>
      <c r="X21" s="209">
        <v>3130049</v>
      </c>
      <c r="Y21" s="213" t="s">
        <v>735</v>
      </c>
      <c r="Z21" s="209">
        <v>30</v>
      </c>
      <c r="AA21" s="209">
        <v>3130049</v>
      </c>
      <c r="AB21" s="209">
        <v>3130049</v>
      </c>
      <c r="AC21" s="178" t="str">
        <f>IF(OR(M21="13",M21="14",P21=8),"",IF(AND(OR(S21="AUTORIZADO", S21="PENDIENTE", S21="REDUCIDO", S21="AMPLIADO"),L21&lt;&gt;"HONORARIO" ), CONCATENATE(IF(H21="X","H",H21),"_",IF(OR(P21=5,P21=6),_xlfn.CONCAT(P21,"A"),P21),"_",VLOOKUP(T21,Datos!$B$2:$C$5,2,TRUE)),""))</f>
        <v>H_1_[11 +]</v>
      </c>
      <c r="AD21" s="178">
        <f t="shared" si="0"/>
        <v>6260098</v>
      </c>
      <c r="AE21" s="82" t="str">
        <f t="shared" si="1"/>
        <v>-</v>
      </c>
      <c r="AF21" s="83" t="str">
        <f t="shared" si="2"/>
        <v>Revisar</v>
      </c>
      <c r="AG21" s="84"/>
      <c r="AH21" s="85" t="str">
        <f t="shared" si="3"/>
        <v>Corregir código servicio</v>
      </c>
      <c r="AI21" s="82" t="str">
        <f t="shared" si="4"/>
        <v>-</v>
      </c>
      <c r="AJ21" s="82">
        <f t="shared" si="5"/>
        <v>3</v>
      </c>
      <c r="AK21" s="82" t="str">
        <f t="shared" si="6"/>
        <v>-</v>
      </c>
      <c r="AL21" s="82" t="str">
        <f t="shared" si="7"/>
        <v>Identifica este registro como HOMBRE</v>
      </c>
      <c r="AM21" s="82" t="str">
        <f t="shared" si="8"/>
        <v>-</v>
      </c>
      <c r="AN21" s="82" t="str">
        <f t="shared" si="9"/>
        <v>-</v>
      </c>
      <c r="AO21" s="82" t="str">
        <f t="shared" si="10"/>
        <v>-</v>
      </c>
      <c r="AP21" s="57" t="str">
        <f t="shared" si="11"/>
        <v>-</v>
      </c>
      <c r="AQ21" s="86" t="str">
        <f t="shared" si="12"/>
        <v>-</v>
      </c>
      <c r="AR21" s="86" t="str">
        <f>IF(N21="","PRIMER_DIA en blanco",
IF(AND(M21="01",N21&gt;=L_Conversion!$C$118,N21&lt;=L_Conversion!$D$118),"-",
IF(AND(M21="02",N21&gt;=L_Conversion!$C$119,N21&lt;=L_Conversion!$D$119),"-",
IF(AND(M21="03",N21&gt;=L_Conversion!$C$120,N21&lt;=L_Conversion!$D$120),"-",
IF(AND(M21="04",N21&gt;=L_Conversion!$C$121,N21&lt;=L_Conversion!$D$121),"-",
IF(AND(M21="05",N21&gt;=L_Conversion!$C$122,N21&lt;=L_Conversion!$D$122),"-",
IF(AND(M21="06",N21&gt;=L_Conversion!$C$123,N21&lt;=L_Conversion!$D$123),"-",
IF(AND(M21="07",N21&gt;=L_Conversion!$C$124,N21&lt;=L_Conversion!$D$124),"-",
IF(AND(M21="08",N21&gt;=L_Conversion!$C$125,N21&lt;=L_Conversion!$D$125),"-",
IF(AND(M21="09",N21&gt;=L_Conversion!$C$126,N21&lt;=L_Conversion!$D$126),"-",
IF(AND(M21="10",N21&gt;=L_Conversion!$C$127,N21&lt;=L_Conversion!$D$127),"-",
IF(AND(M21="11",N21&gt;=L_Conversion!$C$128,N21&lt;=L_Conversion!$D$128),"-",
IF(AND(M21="12",N21&gt;=L_Conversion!$C$129,N21&lt;=L_Conversion!$D$129),"-",
IF(AND(M21="13",N21&gt;=L_Conversion!$C$116,N21&lt;=L_Conversion!$D$116),"-",
IF(AND(M21="14",N21&gt;=L_Conversion!$C$117,N21&lt;=L_Conversion!$D$117),"-",
"PRIMER_DIA fuera de rango")))))))))))))))</f>
        <v>-</v>
      </c>
      <c r="AS21" s="86" t="str">
        <f t="shared" si="13"/>
        <v>-</v>
      </c>
      <c r="AT21" s="86" t="str">
        <f t="shared" si="14"/>
        <v>-</v>
      </c>
      <c r="AU21" s="86" t="str">
        <f t="shared" si="15"/>
        <v>-</v>
      </c>
      <c r="AV21" s="86" t="str">
        <f t="shared" si="16"/>
        <v>-</v>
      </c>
      <c r="AW21" s="86" t="str">
        <f t="shared" si="17"/>
        <v>-</v>
      </c>
      <c r="AX21" s="86" t="str">
        <f t="shared" si="18"/>
        <v>-</v>
      </c>
      <c r="AY21" s="86" t="str">
        <f t="shared" si="19"/>
        <v>-</v>
      </c>
      <c r="AZ21" s="86" t="str">
        <f t="shared" si="20"/>
        <v>-</v>
      </c>
      <c r="BA21" s="86" t="str">
        <f t="shared" si="21"/>
        <v>-</v>
      </c>
      <c r="BB21" s="86" t="str">
        <f t="shared" si="22"/>
        <v>-</v>
      </c>
      <c r="BC21" s="86" t="str">
        <f t="shared" si="23"/>
        <v>-</v>
      </c>
      <c r="BD21" s="86" t="str">
        <f t="shared" si="24"/>
        <v>-</v>
      </c>
      <c r="BE21" s="86" t="str">
        <f t="shared" si="25"/>
        <v>-</v>
      </c>
      <c r="BF21" s="86" t="str">
        <f t="shared" si="26"/>
        <v>-</v>
      </c>
    </row>
    <row r="22" spans="1:58" x14ac:dyDescent="0.2">
      <c r="A22" s="80" t="s">
        <v>1144</v>
      </c>
      <c r="B22" s="92" t="s">
        <v>76</v>
      </c>
      <c r="C22" s="202">
        <v>16081414</v>
      </c>
      <c r="D22" s="203">
        <v>4</v>
      </c>
      <c r="E22" s="204" t="s">
        <v>1167</v>
      </c>
      <c r="F22" s="204" t="s">
        <v>1255</v>
      </c>
      <c r="G22" s="204" t="s">
        <v>1256</v>
      </c>
      <c r="H22" s="205" t="s">
        <v>1033</v>
      </c>
      <c r="I22" s="205" t="s">
        <v>662</v>
      </c>
      <c r="J22" s="203">
        <v>80</v>
      </c>
      <c r="K22" s="204" t="s">
        <v>567</v>
      </c>
      <c r="L22" s="206" t="s">
        <v>502</v>
      </c>
      <c r="M22" s="210" t="s">
        <v>18</v>
      </c>
      <c r="N22" s="211">
        <v>45664</v>
      </c>
      <c r="O22" s="207">
        <v>4</v>
      </c>
      <c r="P22" s="203">
        <v>1</v>
      </c>
      <c r="Q22" s="205" t="s">
        <v>23</v>
      </c>
      <c r="R22" s="205" t="s">
        <v>11</v>
      </c>
      <c r="S22" s="205" t="s">
        <v>23</v>
      </c>
      <c r="T22" s="207">
        <v>4</v>
      </c>
      <c r="U22" s="208" t="s">
        <v>11</v>
      </c>
      <c r="V22" s="212" t="s">
        <v>11</v>
      </c>
      <c r="W22" s="212" t="s">
        <v>19</v>
      </c>
      <c r="X22" s="209">
        <v>63841</v>
      </c>
      <c r="Y22" s="213" t="s">
        <v>735</v>
      </c>
      <c r="Z22" s="209">
        <v>4</v>
      </c>
      <c r="AA22" s="209">
        <v>63841</v>
      </c>
      <c r="AB22" s="209">
        <v>63841</v>
      </c>
      <c r="AC22" s="178" t="str">
        <f>IF(OR(M22="13",M22="14",P22=8),"",IF(AND(OR(S22="AUTORIZADO", S22="PENDIENTE", S22="REDUCIDO", S22="AMPLIADO"),L22&lt;&gt;"HONORARIO" ), CONCATENATE(IF(H22="X","H",H22),"_",IF(OR(P22=5,P22=6),_xlfn.CONCAT(P22,"A"),P22),"_",VLOOKUP(T22,Datos!$B$2:$C$5,2,TRUE)),""))</f>
        <v>M_1_[4 a 10]</v>
      </c>
      <c r="AD22" s="178">
        <f t="shared" si="0"/>
        <v>127682</v>
      </c>
      <c r="AE22" s="82" t="str">
        <f t="shared" si="1"/>
        <v>-</v>
      </c>
      <c r="AF22" s="83" t="str">
        <f t="shared" si="2"/>
        <v>070601</v>
      </c>
      <c r="AG22" s="84"/>
      <c r="AH22" s="85" t="str">
        <f t="shared" si="3"/>
        <v>Corporación de Fomento de la Producción</v>
      </c>
      <c r="AI22" s="82" t="str">
        <f t="shared" si="4"/>
        <v>-</v>
      </c>
      <c r="AJ22" s="82">
        <f t="shared" si="5"/>
        <v>4</v>
      </c>
      <c r="AK22" s="82" t="str">
        <f t="shared" si="6"/>
        <v>-</v>
      </c>
      <c r="AL22" s="82" t="str">
        <f t="shared" si="7"/>
        <v>Identifica este registro como MUJER</v>
      </c>
      <c r="AM22" s="82" t="str">
        <f t="shared" si="8"/>
        <v>-</v>
      </c>
      <c r="AN22" s="82" t="str">
        <f t="shared" si="9"/>
        <v>-</v>
      </c>
      <c r="AO22" s="82" t="str">
        <f t="shared" si="10"/>
        <v>-</v>
      </c>
      <c r="AP22" s="57" t="str">
        <f t="shared" si="11"/>
        <v>-</v>
      </c>
      <c r="AQ22" s="86" t="str">
        <f t="shared" si="12"/>
        <v>-</v>
      </c>
      <c r="AR22" s="86" t="str">
        <f>IF(N22="","PRIMER_DIA en blanco",
IF(AND(M22="01",N22&gt;=L_Conversion!$C$118,N22&lt;=L_Conversion!$D$118),"-",
IF(AND(M22="02",N22&gt;=L_Conversion!$C$119,N22&lt;=L_Conversion!$D$119),"-",
IF(AND(M22="03",N22&gt;=L_Conversion!$C$120,N22&lt;=L_Conversion!$D$120),"-",
IF(AND(M22="04",N22&gt;=L_Conversion!$C$121,N22&lt;=L_Conversion!$D$121),"-",
IF(AND(M22="05",N22&gt;=L_Conversion!$C$122,N22&lt;=L_Conversion!$D$122),"-",
IF(AND(M22="06",N22&gt;=L_Conversion!$C$123,N22&lt;=L_Conversion!$D$123),"-",
IF(AND(M22="07",N22&gt;=L_Conversion!$C$124,N22&lt;=L_Conversion!$D$124),"-",
IF(AND(M22="08",N22&gt;=L_Conversion!$C$125,N22&lt;=L_Conversion!$D$125),"-",
IF(AND(M22="09",N22&gt;=L_Conversion!$C$126,N22&lt;=L_Conversion!$D$126),"-",
IF(AND(M22="10",N22&gt;=L_Conversion!$C$127,N22&lt;=L_Conversion!$D$127),"-",
IF(AND(M22="11",N22&gt;=L_Conversion!$C$128,N22&lt;=L_Conversion!$D$128),"-",
IF(AND(M22="12",N22&gt;=L_Conversion!$C$129,N22&lt;=L_Conversion!$D$129),"-",
IF(AND(M22="13",N22&gt;=L_Conversion!$C$116,N22&lt;=L_Conversion!$D$116),"-",
IF(AND(M22="14",N22&gt;=L_Conversion!$C$117,N22&lt;=L_Conversion!$D$117),"-",
"PRIMER_DIA fuera de rango")))))))))))))))</f>
        <v>-</v>
      </c>
      <c r="AS22" s="86" t="str">
        <f t="shared" si="13"/>
        <v>-</v>
      </c>
      <c r="AT22" s="86" t="str">
        <f t="shared" si="14"/>
        <v>-</v>
      </c>
      <c r="AU22" s="86" t="str">
        <f t="shared" si="15"/>
        <v>-</v>
      </c>
      <c r="AV22" s="86" t="str">
        <f t="shared" si="16"/>
        <v>-</v>
      </c>
      <c r="AW22" s="86" t="str">
        <f t="shared" si="17"/>
        <v>-</v>
      </c>
      <c r="AX22" s="86" t="str">
        <f t="shared" si="18"/>
        <v>-</v>
      </c>
      <c r="AY22" s="86" t="str">
        <f t="shared" si="19"/>
        <v>-</v>
      </c>
      <c r="AZ22" s="86" t="str">
        <f t="shared" si="20"/>
        <v>-</v>
      </c>
      <c r="BA22" s="86" t="str">
        <f t="shared" si="21"/>
        <v>-</v>
      </c>
      <c r="BB22" s="86" t="str">
        <f t="shared" si="22"/>
        <v>-</v>
      </c>
      <c r="BC22" s="86" t="str">
        <f t="shared" si="23"/>
        <v>-</v>
      </c>
      <c r="BD22" s="86" t="str">
        <f t="shared" si="24"/>
        <v>-</v>
      </c>
      <c r="BE22" s="86" t="str">
        <f t="shared" si="25"/>
        <v>-</v>
      </c>
      <c r="BF22" s="86" t="str">
        <f t="shared" si="26"/>
        <v>-</v>
      </c>
    </row>
    <row r="23" spans="1:58" x14ac:dyDescent="0.2">
      <c r="A23" s="80" t="s">
        <v>1144</v>
      </c>
      <c r="B23" s="92" t="s">
        <v>76</v>
      </c>
      <c r="C23" s="202">
        <v>16513630</v>
      </c>
      <c r="D23" s="203">
        <v>6</v>
      </c>
      <c r="E23" s="204" t="s">
        <v>1152</v>
      </c>
      <c r="F23" s="204" t="s">
        <v>1257</v>
      </c>
      <c r="G23" s="204" t="s">
        <v>1258</v>
      </c>
      <c r="H23" s="205" t="s">
        <v>1033</v>
      </c>
      <c r="I23" s="205" t="s">
        <v>662</v>
      </c>
      <c r="J23" s="203">
        <v>80</v>
      </c>
      <c r="K23" s="204" t="s">
        <v>563</v>
      </c>
      <c r="L23" s="206" t="s">
        <v>502</v>
      </c>
      <c r="M23" s="210" t="s">
        <v>18</v>
      </c>
      <c r="N23" s="211">
        <v>45664</v>
      </c>
      <c r="O23" s="207">
        <v>14</v>
      </c>
      <c r="P23" s="203">
        <v>1</v>
      </c>
      <c r="Q23" s="205" t="s">
        <v>23</v>
      </c>
      <c r="R23" s="205" t="s">
        <v>11</v>
      </c>
      <c r="S23" s="205" t="s">
        <v>23</v>
      </c>
      <c r="T23" s="207">
        <v>14</v>
      </c>
      <c r="U23" s="208" t="s">
        <v>11</v>
      </c>
      <c r="V23" s="212" t="s">
        <v>11</v>
      </c>
      <c r="W23" s="212" t="s">
        <v>19</v>
      </c>
      <c r="X23" s="209">
        <v>1465319</v>
      </c>
      <c r="Y23" s="213" t="s">
        <v>735</v>
      </c>
      <c r="Z23" s="209">
        <v>14</v>
      </c>
      <c r="AA23" s="209">
        <v>1465319</v>
      </c>
      <c r="AB23" s="209">
        <v>1465319</v>
      </c>
      <c r="AC23" s="178" t="str">
        <f>IF(OR(M23="13",M23="14",P23=8),"",IF(AND(OR(S23="AUTORIZADO", S23="PENDIENTE", S23="REDUCIDO", S23="AMPLIADO"),L23&lt;&gt;"HONORARIO" ), CONCATENATE(IF(H23="X","H",H23),"_",IF(OR(P23=5,P23=6),_xlfn.CONCAT(P23,"A"),P23),"_",VLOOKUP(T23,Datos!$B$2:$C$5,2,TRUE)),""))</f>
        <v>M_1_[11 +]</v>
      </c>
      <c r="AD23" s="178">
        <f t="shared" si="0"/>
        <v>2930638</v>
      </c>
      <c r="AE23" s="82" t="str">
        <f t="shared" si="1"/>
        <v>-</v>
      </c>
      <c r="AF23" s="83" t="str">
        <f t="shared" si="2"/>
        <v>070601</v>
      </c>
      <c r="AG23" s="84"/>
      <c r="AH23" s="85" t="str">
        <f t="shared" si="3"/>
        <v>Corporación de Fomento de la Producción</v>
      </c>
      <c r="AI23" s="82" t="str">
        <f t="shared" si="4"/>
        <v>-</v>
      </c>
      <c r="AJ23" s="82">
        <f t="shared" si="5"/>
        <v>6</v>
      </c>
      <c r="AK23" s="82" t="str">
        <f t="shared" si="6"/>
        <v>-</v>
      </c>
      <c r="AL23" s="82" t="str">
        <f t="shared" si="7"/>
        <v>Identifica este registro como MUJER</v>
      </c>
      <c r="AM23" s="82" t="str">
        <f t="shared" si="8"/>
        <v>-</v>
      </c>
      <c r="AN23" s="82" t="str">
        <f t="shared" si="9"/>
        <v>-</v>
      </c>
      <c r="AO23" s="82" t="str">
        <f t="shared" si="10"/>
        <v>-</v>
      </c>
      <c r="AP23" s="57" t="str">
        <f t="shared" si="11"/>
        <v>-</v>
      </c>
      <c r="AQ23" s="86" t="str">
        <f t="shared" si="12"/>
        <v>-</v>
      </c>
      <c r="AR23" s="86" t="str">
        <f>IF(N23="","PRIMER_DIA en blanco",
IF(AND(M23="01",N23&gt;=L_Conversion!$C$118,N23&lt;=L_Conversion!$D$118),"-",
IF(AND(M23="02",N23&gt;=L_Conversion!$C$119,N23&lt;=L_Conversion!$D$119),"-",
IF(AND(M23="03",N23&gt;=L_Conversion!$C$120,N23&lt;=L_Conversion!$D$120),"-",
IF(AND(M23="04",N23&gt;=L_Conversion!$C$121,N23&lt;=L_Conversion!$D$121),"-",
IF(AND(M23="05",N23&gt;=L_Conversion!$C$122,N23&lt;=L_Conversion!$D$122),"-",
IF(AND(M23="06",N23&gt;=L_Conversion!$C$123,N23&lt;=L_Conversion!$D$123),"-",
IF(AND(M23="07",N23&gt;=L_Conversion!$C$124,N23&lt;=L_Conversion!$D$124),"-",
IF(AND(M23="08",N23&gt;=L_Conversion!$C$125,N23&lt;=L_Conversion!$D$125),"-",
IF(AND(M23="09",N23&gt;=L_Conversion!$C$126,N23&lt;=L_Conversion!$D$126),"-",
IF(AND(M23="10",N23&gt;=L_Conversion!$C$127,N23&lt;=L_Conversion!$D$127),"-",
IF(AND(M23="11",N23&gt;=L_Conversion!$C$128,N23&lt;=L_Conversion!$D$128),"-",
IF(AND(M23="12",N23&gt;=L_Conversion!$C$129,N23&lt;=L_Conversion!$D$129),"-",
IF(AND(M23="13",N23&gt;=L_Conversion!$C$116,N23&lt;=L_Conversion!$D$116),"-",
IF(AND(M23="14",N23&gt;=L_Conversion!$C$117,N23&lt;=L_Conversion!$D$117),"-",
"PRIMER_DIA fuera de rango")))))))))))))))</f>
        <v>-</v>
      </c>
      <c r="AS23" s="86" t="str">
        <f t="shared" si="13"/>
        <v>-</v>
      </c>
      <c r="AT23" s="86" t="str">
        <f t="shared" si="14"/>
        <v>-</v>
      </c>
      <c r="AU23" s="86" t="str">
        <f t="shared" si="15"/>
        <v>-</v>
      </c>
      <c r="AV23" s="86" t="str">
        <f t="shared" si="16"/>
        <v>-</v>
      </c>
      <c r="AW23" s="86" t="str">
        <f t="shared" si="17"/>
        <v>-</v>
      </c>
      <c r="AX23" s="86" t="str">
        <f t="shared" si="18"/>
        <v>-</v>
      </c>
      <c r="AY23" s="86" t="str">
        <f t="shared" si="19"/>
        <v>-</v>
      </c>
      <c r="AZ23" s="86" t="str">
        <f t="shared" si="20"/>
        <v>-</v>
      </c>
      <c r="BA23" s="86" t="str">
        <f t="shared" si="21"/>
        <v>-</v>
      </c>
      <c r="BB23" s="86" t="str">
        <f t="shared" si="22"/>
        <v>-</v>
      </c>
      <c r="BC23" s="86" t="str">
        <f t="shared" si="23"/>
        <v>-</v>
      </c>
      <c r="BD23" s="86" t="str">
        <f t="shared" si="24"/>
        <v>-</v>
      </c>
      <c r="BE23" s="86" t="str">
        <f t="shared" si="25"/>
        <v>-</v>
      </c>
      <c r="BF23" s="86" t="str">
        <f t="shared" si="26"/>
        <v>-</v>
      </c>
    </row>
    <row r="24" spans="1:58" x14ac:dyDescent="0.2">
      <c r="A24" s="80" t="s">
        <v>1144</v>
      </c>
      <c r="B24" s="92" t="s">
        <v>76</v>
      </c>
      <c r="C24" s="202">
        <v>10706368</v>
      </c>
      <c r="D24" s="203">
        <v>4</v>
      </c>
      <c r="E24" s="204" t="s">
        <v>1259</v>
      </c>
      <c r="F24" s="204" t="s">
        <v>1170</v>
      </c>
      <c r="G24" s="204" t="s">
        <v>1260</v>
      </c>
      <c r="H24" s="205" t="s">
        <v>663</v>
      </c>
      <c r="I24" s="205" t="s">
        <v>664</v>
      </c>
      <c r="J24" s="203">
        <v>60</v>
      </c>
      <c r="K24" s="204" t="s">
        <v>561</v>
      </c>
      <c r="L24" s="206" t="s">
        <v>497</v>
      </c>
      <c r="M24" s="210" t="s">
        <v>18</v>
      </c>
      <c r="N24" s="211">
        <v>45664</v>
      </c>
      <c r="O24" s="207">
        <v>14</v>
      </c>
      <c r="P24" s="203">
        <v>1</v>
      </c>
      <c r="Q24" s="205" t="s">
        <v>23</v>
      </c>
      <c r="R24" s="205" t="s">
        <v>11</v>
      </c>
      <c r="S24" s="205" t="s">
        <v>23</v>
      </c>
      <c r="T24" s="207">
        <v>14</v>
      </c>
      <c r="U24" s="208" t="s">
        <v>11</v>
      </c>
      <c r="V24" s="212" t="s">
        <v>11</v>
      </c>
      <c r="W24" s="212" t="s">
        <v>19</v>
      </c>
      <c r="X24" s="209">
        <v>1475963</v>
      </c>
      <c r="Y24" s="213" t="s">
        <v>735</v>
      </c>
      <c r="Z24" s="209">
        <v>14</v>
      </c>
      <c r="AA24" s="209">
        <v>1475963</v>
      </c>
      <c r="AB24" s="209">
        <v>1475963</v>
      </c>
      <c r="AC24" s="178" t="str">
        <f>IF(OR(M24="13",M24="14",P24=8),"",IF(AND(OR(S24="AUTORIZADO", S24="PENDIENTE", S24="REDUCIDO", S24="AMPLIADO"),L24&lt;&gt;"HONORARIO" ), CONCATENATE(IF(H24="X","H",H24),"_",IF(OR(P24=5,P24=6),_xlfn.CONCAT(P24,"A"),P24),"_",VLOOKUP(T24,Datos!$B$2:$C$5,2,TRUE)),""))</f>
        <v>H_1_[11 +]</v>
      </c>
      <c r="AD24" s="178">
        <f t="shared" si="0"/>
        <v>2951926</v>
      </c>
      <c r="AE24" s="82" t="str">
        <f t="shared" si="1"/>
        <v>-</v>
      </c>
      <c r="AF24" s="83" t="str">
        <f t="shared" si="2"/>
        <v>070601</v>
      </c>
      <c r="AG24" s="84"/>
      <c r="AH24" s="85" t="str">
        <f t="shared" si="3"/>
        <v>Corporación de Fomento de la Producción</v>
      </c>
      <c r="AI24" s="82" t="str">
        <f t="shared" si="4"/>
        <v>-</v>
      </c>
      <c r="AJ24" s="82">
        <f t="shared" si="5"/>
        <v>4</v>
      </c>
      <c r="AK24" s="82" t="str">
        <f t="shared" si="6"/>
        <v>-</v>
      </c>
      <c r="AL24" s="82" t="str">
        <f t="shared" si="7"/>
        <v>Identifica este registro como HOMBRE</v>
      </c>
      <c r="AM24" s="82" t="str">
        <f t="shared" si="8"/>
        <v>-</v>
      </c>
      <c r="AN24" s="82" t="str">
        <f t="shared" si="9"/>
        <v>-</v>
      </c>
      <c r="AO24" s="82" t="str">
        <f t="shared" si="10"/>
        <v>-</v>
      </c>
      <c r="AP24" s="57" t="str">
        <f t="shared" si="11"/>
        <v>-</v>
      </c>
      <c r="AQ24" s="86" t="str">
        <f t="shared" si="12"/>
        <v>-</v>
      </c>
      <c r="AR24" s="86" t="str">
        <f>IF(N24="","PRIMER_DIA en blanco",
IF(AND(M24="01",N24&gt;=L_Conversion!$C$118,N24&lt;=L_Conversion!$D$118),"-",
IF(AND(M24="02",N24&gt;=L_Conversion!$C$119,N24&lt;=L_Conversion!$D$119),"-",
IF(AND(M24="03",N24&gt;=L_Conversion!$C$120,N24&lt;=L_Conversion!$D$120),"-",
IF(AND(M24="04",N24&gt;=L_Conversion!$C$121,N24&lt;=L_Conversion!$D$121),"-",
IF(AND(M24="05",N24&gt;=L_Conversion!$C$122,N24&lt;=L_Conversion!$D$122),"-",
IF(AND(M24="06",N24&gt;=L_Conversion!$C$123,N24&lt;=L_Conversion!$D$123),"-",
IF(AND(M24="07",N24&gt;=L_Conversion!$C$124,N24&lt;=L_Conversion!$D$124),"-",
IF(AND(M24="08",N24&gt;=L_Conversion!$C$125,N24&lt;=L_Conversion!$D$125),"-",
IF(AND(M24="09",N24&gt;=L_Conversion!$C$126,N24&lt;=L_Conversion!$D$126),"-",
IF(AND(M24="10",N24&gt;=L_Conversion!$C$127,N24&lt;=L_Conversion!$D$127),"-",
IF(AND(M24="11",N24&gt;=L_Conversion!$C$128,N24&lt;=L_Conversion!$D$128),"-",
IF(AND(M24="12",N24&gt;=L_Conversion!$C$129,N24&lt;=L_Conversion!$D$129),"-",
IF(AND(M24="13",N24&gt;=L_Conversion!$C$116,N24&lt;=L_Conversion!$D$116),"-",
IF(AND(M24="14",N24&gt;=L_Conversion!$C$117,N24&lt;=L_Conversion!$D$117),"-",
"PRIMER_DIA fuera de rango")))))))))))))))</f>
        <v>-</v>
      </c>
      <c r="AS24" s="86" t="str">
        <f t="shared" si="13"/>
        <v>-</v>
      </c>
      <c r="AT24" s="86" t="str">
        <f t="shared" si="14"/>
        <v>-</v>
      </c>
      <c r="AU24" s="86" t="str">
        <f t="shared" si="15"/>
        <v>-</v>
      </c>
      <c r="AV24" s="86" t="str">
        <f t="shared" si="16"/>
        <v>-</v>
      </c>
      <c r="AW24" s="86" t="str">
        <f t="shared" si="17"/>
        <v>-</v>
      </c>
      <c r="AX24" s="86" t="str">
        <f t="shared" si="18"/>
        <v>-</v>
      </c>
      <c r="AY24" s="86" t="str">
        <f t="shared" si="19"/>
        <v>-</v>
      </c>
      <c r="AZ24" s="86" t="str">
        <f t="shared" si="20"/>
        <v>-</v>
      </c>
      <c r="BA24" s="86" t="str">
        <f t="shared" si="21"/>
        <v>-</v>
      </c>
      <c r="BB24" s="86" t="str">
        <f t="shared" si="22"/>
        <v>-</v>
      </c>
      <c r="BC24" s="86" t="str">
        <f t="shared" si="23"/>
        <v>-</v>
      </c>
      <c r="BD24" s="86" t="str">
        <f t="shared" si="24"/>
        <v>-</v>
      </c>
      <c r="BE24" s="86" t="str">
        <f t="shared" si="25"/>
        <v>-</v>
      </c>
      <c r="BF24" s="86" t="str">
        <f t="shared" si="26"/>
        <v>-</v>
      </c>
    </row>
    <row r="25" spans="1:58" x14ac:dyDescent="0.2">
      <c r="A25" s="80" t="s">
        <v>1144</v>
      </c>
      <c r="B25" s="92" t="s">
        <v>886</v>
      </c>
      <c r="C25" s="202">
        <v>17009993</v>
      </c>
      <c r="D25" s="203">
        <v>1</v>
      </c>
      <c r="E25" s="204" t="s">
        <v>1261</v>
      </c>
      <c r="F25" s="204" t="s">
        <v>1262</v>
      </c>
      <c r="G25" s="204" t="s">
        <v>1263</v>
      </c>
      <c r="H25" s="205" t="s">
        <v>1033</v>
      </c>
      <c r="I25" s="205" t="s">
        <v>662</v>
      </c>
      <c r="J25" s="203">
        <v>80</v>
      </c>
      <c r="K25" s="204" t="s">
        <v>563</v>
      </c>
      <c r="L25" s="206" t="s">
        <v>502</v>
      </c>
      <c r="M25" s="210" t="s">
        <v>18</v>
      </c>
      <c r="N25" s="211">
        <v>45664</v>
      </c>
      <c r="O25" s="207">
        <v>84</v>
      </c>
      <c r="P25" s="203">
        <v>3</v>
      </c>
      <c r="Q25" s="205" t="s">
        <v>23</v>
      </c>
      <c r="R25" s="205" t="s">
        <v>11</v>
      </c>
      <c r="S25" s="205" t="s">
        <v>23</v>
      </c>
      <c r="T25" s="207">
        <v>84</v>
      </c>
      <c r="U25" s="208" t="s">
        <v>11</v>
      </c>
      <c r="V25" s="212" t="s">
        <v>11</v>
      </c>
      <c r="W25" s="212" t="s">
        <v>19</v>
      </c>
      <c r="X25" s="209">
        <v>2981748</v>
      </c>
      <c r="Y25" s="213" t="s">
        <v>735</v>
      </c>
      <c r="Z25" s="209">
        <v>84</v>
      </c>
      <c r="AA25" s="209">
        <v>2981748</v>
      </c>
      <c r="AB25" s="209">
        <v>2981748</v>
      </c>
      <c r="AC25" s="178" t="str">
        <f>IF(OR(M25="13",M25="14",P25=8),"",IF(AND(OR(S25="AUTORIZADO", S25="PENDIENTE", S25="REDUCIDO", S25="AMPLIADO"),L25&lt;&gt;"HONORARIO" ), CONCATENATE(IF(H25="X","H",H25),"_",IF(OR(P25=5,P25=6),_xlfn.CONCAT(P25,"A"),P25),"_",VLOOKUP(T25,Datos!$B$2:$C$5,2,TRUE)),""))</f>
        <v>M_3_[11 +]</v>
      </c>
      <c r="AD25" s="178">
        <f t="shared" si="0"/>
        <v>5963496</v>
      </c>
      <c r="AE25" s="82" t="str">
        <f t="shared" si="1"/>
        <v>-</v>
      </c>
      <c r="AF25" s="83" t="str">
        <f t="shared" si="2"/>
        <v>070606</v>
      </c>
      <c r="AG25" s="84"/>
      <c r="AH25" s="85" t="str">
        <f t="shared" si="3"/>
        <v>Corporación de Fomento de la Producción</v>
      </c>
      <c r="AI25" s="82" t="str">
        <f t="shared" si="4"/>
        <v>-</v>
      </c>
      <c r="AJ25" s="82">
        <f t="shared" si="5"/>
        <v>1</v>
      </c>
      <c r="AK25" s="82" t="str">
        <f t="shared" si="6"/>
        <v>-</v>
      </c>
      <c r="AL25" s="82" t="str">
        <f t="shared" si="7"/>
        <v>Identifica este registro como MUJER</v>
      </c>
      <c r="AM25" s="82" t="str">
        <f t="shared" si="8"/>
        <v>-</v>
      </c>
      <c r="AN25" s="82" t="str">
        <f t="shared" si="9"/>
        <v>-</v>
      </c>
      <c r="AO25" s="82" t="str">
        <f t="shared" si="10"/>
        <v>-</v>
      </c>
      <c r="AP25" s="57" t="str">
        <f t="shared" si="11"/>
        <v>-</v>
      </c>
      <c r="AQ25" s="86" t="str">
        <f t="shared" si="12"/>
        <v>-</v>
      </c>
      <c r="AR25" s="86" t="str">
        <f>IF(N25="","PRIMER_DIA en blanco",
IF(AND(M25="01",N25&gt;=L_Conversion!$C$118,N25&lt;=L_Conversion!$D$118),"-",
IF(AND(M25="02",N25&gt;=L_Conversion!$C$119,N25&lt;=L_Conversion!$D$119),"-",
IF(AND(M25="03",N25&gt;=L_Conversion!$C$120,N25&lt;=L_Conversion!$D$120),"-",
IF(AND(M25="04",N25&gt;=L_Conversion!$C$121,N25&lt;=L_Conversion!$D$121),"-",
IF(AND(M25="05",N25&gt;=L_Conversion!$C$122,N25&lt;=L_Conversion!$D$122),"-",
IF(AND(M25="06",N25&gt;=L_Conversion!$C$123,N25&lt;=L_Conversion!$D$123),"-",
IF(AND(M25="07",N25&gt;=L_Conversion!$C$124,N25&lt;=L_Conversion!$D$124),"-",
IF(AND(M25="08",N25&gt;=L_Conversion!$C$125,N25&lt;=L_Conversion!$D$125),"-",
IF(AND(M25="09",N25&gt;=L_Conversion!$C$126,N25&lt;=L_Conversion!$D$126),"-",
IF(AND(M25="10",N25&gt;=L_Conversion!$C$127,N25&lt;=L_Conversion!$D$127),"-",
IF(AND(M25="11",N25&gt;=L_Conversion!$C$128,N25&lt;=L_Conversion!$D$128),"-",
IF(AND(M25="12",N25&gt;=L_Conversion!$C$129,N25&lt;=L_Conversion!$D$129),"-",
IF(AND(M25="13",N25&gt;=L_Conversion!$C$116,N25&lt;=L_Conversion!$D$116),"-",
IF(AND(M25="14",N25&gt;=L_Conversion!$C$117,N25&lt;=L_Conversion!$D$117),"-",
"PRIMER_DIA fuera de rango")))))))))))))))</f>
        <v>-</v>
      </c>
      <c r="AS25" s="86" t="str">
        <f t="shared" si="13"/>
        <v>-</v>
      </c>
      <c r="AT25" s="86" t="str">
        <f t="shared" si="14"/>
        <v>-</v>
      </c>
      <c r="AU25" s="86" t="str">
        <f t="shared" si="15"/>
        <v>-</v>
      </c>
      <c r="AV25" s="86" t="str">
        <f t="shared" si="16"/>
        <v>-</v>
      </c>
      <c r="AW25" s="86" t="str">
        <f t="shared" si="17"/>
        <v>-</v>
      </c>
      <c r="AX25" s="86" t="str">
        <f t="shared" si="18"/>
        <v>-</v>
      </c>
      <c r="AY25" s="86" t="str">
        <f t="shared" si="19"/>
        <v>-</v>
      </c>
      <c r="AZ25" s="86" t="str">
        <f t="shared" si="20"/>
        <v>-</v>
      </c>
      <c r="BA25" s="86" t="str">
        <f t="shared" si="21"/>
        <v>-</v>
      </c>
      <c r="BB25" s="86" t="str">
        <f t="shared" si="22"/>
        <v>-</v>
      </c>
      <c r="BC25" s="86" t="str">
        <f t="shared" si="23"/>
        <v>-</v>
      </c>
      <c r="BD25" s="86" t="str">
        <f t="shared" si="24"/>
        <v>-</v>
      </c>
      <c r="BE25" s="86" t="str">
        <f t="shared" si="25"/>
        <v>-</v>
      </c>
      <c r="BF25" s="86" t="str">
        <f t="shared" si="26"/>
        <v>-</v>
      </c>
    </row>
    <row r="26" spans="1:58" x14ac:dyDescent="0.2">
      <c r="A26" s="80" t="s">
        <v>1144</v>
      </c>
      <c r="B26" s="92" t="s">
        <v>887</v>
      </c>
      <c r="C26" s="202">
        <v>17515937</v>
      </c>
      <c r="D26" s="203">
        <v>1</v>
      </c>
      <c r="E26" s="204" t="s">
        <v>1264</v>
      </c>
      <c r="F26" s="204" t="s">
        <v>1210</v>
      </c>
      <c r="G26" s="204" t="s">
        <v>1265</v>
      </c>
      <c r="H26" s="205" t="s">
        <v>663</v>
      </c>
      <c r="I26" s="205" t="s">
        <v>662</v>
      </c>
      <c r="J26" s="203">
        <v>80</v>
      </c>
      <c r="K26" s="204" t="s">
        <v>563</v>
      </c>
      <c r="L26" s="206" t="s">
        <v>502</v>
      </c>
      <c r="M26" s="210" t="s">
        <v>18</v>
      </c>
      <c r="N26" s="211">
        <v>45664</v>
      </c>
      <c r="O26" s="207">
        <v>2</v>
      </c>
      <c r="P26" s="203">
        <v>1</v>
      </c>
      <c r="Q26" s="205" t="s">
        <v>23</v>
      </c>
      <c r="R26" s="205" t="s">
        <v>11</v>
      </c>
      <c r="S26" s="205" t="s">
        <v>23</v>
      </c>
      <c r="T26" s="207">
        <v>2</v>
      </c>
      <c r="U26" s="208" t="s">
        <v>11</v>
      </c>
      <c r="V26" s="212" t="s">
        <v>19</v>
      </c>
      <c r="W26" s="212" t="s">
        <v>19</v>
      </c>
      <c r="X26" s="209">
        <v>40576</v>
      </c>
      <c r="Y26" s="213" t="s">
        <v>735</v>
      </c>
      <c r="Z26" s="209">
        <v>2</v>
      </c>
      <c r="AA26" s="209">
        <v>40576</v>
      </c>
      <c r="AB26" s="209">
        <v>40576</v>
      </c>
      <c r="AC26" s="178" t="str">
        <f>IF(OR(M26="13",M26="14",P26=8),"",IF(AND(OR(S26="AUTORIZADO", S26="PENDIENTE", S26="REDUCIDO", S26="AMPLIADO"),L26&lt;&gt;"HONORARIO" ), CONCATENATE(IF(H26="X","H",H26),"_",IF(OR(P26=5,P26=6),_xlfn.CONCAT(P26,"A"),P26),"_",VLOOKUP(T26,Datos!$B$2:$C$5,2,TRUE)),""))</f>
        <v>H_1_[hasta 3]</v>
      </c>
      <c r="AD26" s="178">
        <f t="shared" si="0"/>
        <v>81152</v>
      </c>
      <c r="AE26" s="82" t="str">
        <f t="shared" si="1"/>
        <v>-</v>
      </c>
      <c r="AF26" s="83" t="str">
        <f t="shared" si="2"/>
        <v>070607</v>
      </c>
      <c r="AG26" s="84"/>
      <c r="AH26" s="85" t="str">
        <f t="shared" si="3"/>
        <v>Corporación de Fomento de la Producción</v>
      </c>
      <c r="AI26" s="82" t="str">
        <f t="shared" si="4"/>
        <v>-</v>
      </c>
      <c r="AJ26" s="82">
        <f t="shared" si="5"/>
        <v>1</v>
      </c>
      <c r="AK26" s="82" t="str">
        <f t="shared" si="6"/>
        <v>-</v>
      </c>
      <c r="AL26" s="82" t="str">
        <f t="shared" si="7"/>
        <v>Identifica este registro como HOMBRE</v>
      </c>
      <c r="AM26" s="82" t="str">
        <f t="shared" si="8"/>
        <v>-</v>
      </c>
      <c r="AN26" s="82" t="str">
        <f t="shared" si="9"/>
        <v>-</v>
      </c>
      <c r="AO26" s="82" t="str">
        <f t="shared" si="10"/>
        <v>-</v>
      </c>
      <c r="AP26" s="57" t="str">
        <f t="shared" si="11"/>
        <v>-</v>
      </c>
      <c r="AQ26" s="86" t="str">
        <f t="shared" si="12"/>
        <v>-</v>
      </c>
      <c r="AR26" s="86" t="str">
        <f>IF(N26="","PRIMER_DIA en blanco",
IF(AND(M26="01",N26&gt;=L_Conversion!$C$118,N26&lt;=L_Conversion!$D$118),"-",
IF(AND(M26="02",N26&gt;=L_Conversion!$C$119,N26&lt;=L_Conversion!$D$119),"-",
IF(AND(M26="03",N26&gt;=L_Conversion!$C$120,N26&lt;=L_Conversion!$D$120),"-",
IF(AND(M26="04",N26&gt;=L_Conversion!$C$121,N26&lt;=L_Conversion!$D$121),"-",
IF(AND(M26="05",N26&gt;=L_Conversion!$C$122,N26&lt;=L_Conversion!$D$122),"-",
IF(AND(M26="06",N26&gt;=L_Conversion!$C$123,N26&lt;=L_Conversion!$D$123),"-",
IF(AND(M26="07",N26&gt;=L_Conversion!$C$124,N26&lt;=L_Conversion!$D$124),"-",
IF(AND(M26="08",N26&gt;=L_Conversion!$C$125,N26&lt;=L_Conversion!$D$125),"-",
IF(AND(M26="09",N26&gt;=L_Conversion!$C$126,N26&lt;=L_Conversion!$D$126),"-",
IF(AND(M26="10",N26&gt;=L_Conversion!$C$127,N26&lt;=L_Conversion!$D$127),"-",
IF(AND(M26="11",N26&gt;=L_Conversion!$C$128,N26&lt;=L_Conversion!$D$128),"-",
IF(AND(M26="12",N26&gt;=L_Conversion!$C$129,N26&lt;=L_Conversion!$D$129),"-",
IF(AND(M26="13",N26&gt;=L_Conversion!$C$116,N26&lt;=L_Conversion!$D$116),"-",
IF(AND(M26="14",N26&gt;=L_Conversion!$C$117,N26&lt;=L_Conversion!$D$117),"-",
"PRIMER_DIA fuera de rango")))))))))))))))</f>
        <v>-</v>
      </c>
      <c r="AS26" s="86" t="str">
        <f t="shared" si="13"/>
        <v>-</v>
      </c>
      <c r="AT26" s="86" t="str">
        <f t="shared" si="14"/>
        <v>-</v>
      </c>
      <c r="AU26" s="86" t="str">
        <f t="shared" si="15"/>
        <v>-</v>
      </c>
      <c r="AV26" s="86" t="str">
        <f t="shared" si="16"/>
        <v>-</v>
      </c>
      <c r="AW26" s="86" t="str">
        <f t="shared" si="17"/>
        <v>-</v>
      </c>
      <c r="AX26" s="86" t="str">
        <f t="shared" si="18"/>
        <v>-</v>
      </c>
      <c r="AY26" s="86" t="str">
        <f t="shared" si="19"/>
        <v>-</v>
      </c>
      <c r="AZ26" s="86" t="str">
        <f t="shared" si="20"/>
        <v>-</v>
      </c>
      <c r="BA26" s="86" t="str">
        <f t="shared" si="21"/>
        <v>-</v>
      </c>
      <c r="BB26" s="86" t="str">
        <f t="shared" si="22"/>
        <v>-</v>
      </c>
      <c r="BC26" s="86" t="str">
        <f t="shared" si="23"/>
        <v>-</v>
      </c>
      <c r="BD26" s="86" t="str">
        <f t="shared" si="24"/>
        <v>-</v>
      </c>
      <c r="BE26" s="86" t="str">
        <f t="shared" si="25"/>
        <v>-</v>
      </c>
      <c r="BF26" s="86" t="str">
        <f t="shared" si="26"/>
        <v>-</v>
      </c>
    </row>
    <row r="27" spans="1:58" x14ac:dyDescent="0.2">
      <c r="A27" s="80" t="s">
        <v>1144</v>
      </c>
      <c r="B27" s="92" t="s">
        <v>76</v>
      </c>
      <c r="C27" s="202">
        <v>8851632</v>
      </c>
      <c r="D27" s="203" t="s">
        <v>1151</v>
      </c>
      <c r="E27" s="204" t="s">
        <v>1266</v>
      </c>
      <c r="F27" s="204" t="s">
        <v>1217</v>
      </c>
      <c r="G27" s="204" t="s">
        <v>1267</v>
      </c>
      <c r="H27" s="205" t="s">
        <v>1033</v>
      </c>
      <c r="I27" s="205" t="s">
        <v>662</v>
      </c>
      <c r="J27" s="203">
        <v>60</v>
      </c>
      <c r="K27" s="204" t="s">
        <v>567</v>
      </c>
      <c r="L27" s="206" t="s">
        <v>497</v>
      </c>
      <c r="M27" s="210" t="s">
        <v>18</v>
      </c>
      <c r="N27" s="211">
        <v>45664</v>
      </c>
      <c r="O27" s="207">
        <v>4</v>
      </c>
      <c r="P27" s="203">
        <v>1</v>
      </c>
      <c r="Q27" s="205" t="s">
        <v>23</v>
      </c>
      <c r="R27" s="205" t="s">
        <v>11</v>
      </c>
      <c r="S27" s="205" t="s">
        <v>23</v>
      </c>
      <c r="T27" s="207">
        <v>4</v>
      </c>
      <c r="U27" s="208" t="s">
        <v>11</v>
      </c>
      <c r="V27" s="212" t="s">
        <v>11</v>
      </c>
      <c r="W27" s="212" t="s">
        <v>19</v>
      </c>
      <c r="X27" s="209">
        <v>104337</v>
      </c>
      <c r="Y27" s="213" t="s">
        <v>735</v>
      </c>
      <c r="Z27" s="209">
        <v>4</v>
      </c>
      <c r="AA27" s="209">
        <v>104337</v>
      </c>
      <c r="AB27" s="209">
        <v>104337</v>
      </c>
      <c r="AC27" s="178" t="str">
        <f>IF(OR(M27="13",M27="14",P27=8),"",IF(AND(OR(S27="AUTORIZADO", S27="PENDIENTE", S27="REDUCIDO", S27="AMPLIADO"),L27&lt;&gt;"HONORARIO" ), CONCATENATE(IF(H27="X","H",H27),"_",IF(OR(P27=5,P27=6),_xlfn.CONCAT(P27,"A"),P27),"_",VLOOKUP(T27,Datos!$B$2:$C$5,2,TRUE)),""))</f>
        <v>M_1_[4 a 10]</v>
      </c>
      <c r="AD27" s="178">
        <f t="shared" si="0"/>
        <v>208674</v>
      </c>
      <c r="AE27" s="82" t="str">
        <f t="shared" si="1"/>
        <v>-</v>
      </c>
      <c r="AF27" s="83" t="str">
        <f t="shared" si="2"/>
        <v>070601</v>
      </c>
      <c r="AG27" s="84"/>
      <c r="AH27" s="85" t="str">
        <f t="shared" si="3"/>
        <v>Corporación de Fomento de la Producción</v>
      </c>
      <c r="AI27" s="82" t="str">
        <f t="shared" si="4"/>
        <v>-</v>
      </c>
      <c r="AJ27" s="82" t="str">
        <f t="shared" si="5"/>
        <v>K</v>
      </c>
      <c r="AK27" s="82" t="str">
        <f t="shared" si="6"/>
        <v>-</v>
      </c>
      <c r="AL27" s="82" t="str">
        <f t="shared" si="7"/>
        <v>Identifica este registro como MUJER</v>
      </c>
      <c r="AM27" s="82" t="str">
        <f t="shared" si="8"/>
        <v>-</v>
      </c>
      <c r="AN27" s="82" t="str">
        <f t="shared" si="9"/>
        <v>-</v>
      </c>
      <c r="AO27" s="82" t="str">
        <f t="shared" si="10"/>
        <v>-</v>
      </c>
      <c r="AP27" s="57" t="str">
        <f t="shared" si="11"/>
        <v>-</v>
      </c>
      <c r="AQ27" s="86" t="str">
        <f t="shared" si="12"/>
        <v>-</v>
      </c>
      <c r="AR27" s="86" t="str">
        <f>IF(N27="","PRIMER_DIA en blanco",
IF(AND(M27="01",N27&gt;=L_Conversion!$C$118,N27&lt;=L_Conversion!$D$118),"-",
IF(AND(M27="02",N27&gt;=L_Conversion!$C$119,N27&lt;=L_Conversion!$D$119),"-",
IF(AND(M27="03",N27&gt;=L_Conversion!$C$120,N27&lt;=L_Conversion!$D$120),"-",
IF(AND(M27="04",N27&gt;=L_Conversion!$C$121,N27&lt;=L_Conversion!$D$121),"-",
IF(AND(M27="05",N27&gt;=L_Conversion!$C$122,N27&lt;=L_Conversion!$D$122),"-",
IF(AND(M27="06",N27&gt;=L_Conversion!$C$123,N27&lt;=L_Conversion!$D$123),"-",
IF(AND(M27="07",N27&gt;=L_Conversion!$C$124,N27&lt;=L_Conversion!$D$124),"-",
IF(AND(M27="08",N27&gt;=L_Conversion!$C$125,N27&lt;=L_Conversion!$D$125),"-",
IF(AND(M27="09",N27&gt;=L_Conversion!$C$126,N27&lt;=L_Conversion!$D$126),"-",
IF(AND(M27="10",N27&gt;=L_Conversion!$C$127,N27&lt;=L_Conversion!$D$127),"-",
IF(AND(M27="11",N27&gt;=L_Conversion!$C$128,N27&lt;=L_Conversion!$D$128),"-",
IF(AND(M27="12",N27&gt;=L_Conversion!$C$129,N27&lt;=L_Conversion!$D$129),"-",
IF(AND(M27="13",N27&gt;=L_Conversion!$C$116,N27&lt;=L_Conversion!$D$116),"-",
IF(AND(M27="14",N27&gt;=L_Conversion!$C$117,N27&lt;=L_Conversion!$D$117),"-",
"PRIMER_DIA fuera de rango")))))))))))))))</f>
        <v>-</v>
      </c>
      <c r="AS27" s="86" t="str">
        <f t="shared" si="13"/>
        <v>-</v>
      </c>
      <c r="AT27" s="86" t="str">
        <f t="shared" si="14"/>
        <v>-</v>
      </c>
      <c r="AU27" s="86" t="str">
        <f t="shared" si="15"/>
        <v>-</v>
      </c>
      <c r="AV27" s="86" t="str">
        <f t="shared" si="16"/>
        <v>-</v>
      </c>
      <c r="AW27" s="86" t="str">
        <f t="shared" si="17"/>
        <v>-</v>
      </c>
      <c r="AX27" s="86" t="str">
        <f t="shared" si="18"/>
        <v>-</v>
      </c>
      <c r="AY27" s="86" t="str">
        <f t="shared" si="19"/>
        <v>-</v>
      </c>
      <c r="AZ27" s="86" t="str">
        <f t="shared" si="20"/>
        <v>-</v>
      </c>
      <c r="BA27" s="86" t="str">
        <f t="shared" si="21"/>
        <v>-</v>
      </c>
      <c r="BB27" s="86" t="str">
        <f t="shared" si="22"/>
        <v>-</v>
      </c>
      <c r="BC27" s="86" t="str">
        <f t="shared" si="23"/>
        <v>-</v>
      </c>
      <c r="BD27" s="86" t="str">
        <f t="shared" si="24"/>
        <v>-</v>
      </c>
      <c r="BE27" s="86" t="str">
        <f t="shared" si="25"/>
        <v>-</v>
      </c>
      <c r="BF27" s="86" t="str">
        <f t="shared" si="26"/>
        <v>-</v>
      </c>
    </row>
    <row r="28" spans="1:58" x14ac:dyDescent="0.2">
      <c r="A28" s="80" t="s">
        <v>1144</v>
      </c>
      <c r="B28" s="92" t="s">
        <v>76</v>
      </c>
      <c r="C28" s="202">
        <v>10123725</v>
      </c>
      <c r="D28" s="203">
        <v>7</v>
      </c>
      <c r="E28" s="204" t="s">
        <v>1168</v>
      </c>
      <c r="F28" s="204" t="s">
        <v>1268</v>
      </c>
      <c r="G28" s="204" t="s">
        <v>1269</v>
      </c>
      <c r="H28" s="205" t="s">
        <v>1033</v>
      </c>
      <c r="I28" s="205" t="s">
        <v>662</v>
      </c>
      <c r="J28" s="203">
        <v>80</v>
      </c>
      <c r="K28" s="204" t="s">
        <v>567</v>
      </c>
      <c r="L28" s="206" t="s">
        <v>502</v>
      </c>
      <c r="M28" s="210" t="s">
        <v>18</v>
      </c>
      <c r="N28" s="211">
        <v>45665</v>
      </c>
      <c r="O28" s="207">
        <v>14</v>
      </c>
      <c r="P28" s="203">
        <v>1</v>
      </c>
      <c r="Q28" s="205" t="s">
        <v>23</v>
      </c>
      <c r="R28" s="205" t="s">
        <v>11</v>
      </c>
      <c r="S28" s="205" t="s">
        <v>23</v>
      </c>
      <c r="T28" s="207">
        <v>14</v>
      </c>
      <c r="U28" s="208" t="s">
        <v>11</v>
      </c>
      <c r="V28" s="212" t="s">
        <v>11</v>
      </c>
      <c r="W28" s="212" t="s">
        <v>19</v>
      </c>
      <c r="X28" s="209">
        <v>830602</v>
      </c>
      <c r="Y28" s="213" t="s">
        <v>735</v>
      </c>
      <c r="Z28" s="209">
        <v>14</v>
      </c>
      <c r="AA28" s="209">
        <v>830602</v>
      </c>
      <c r="AB28" s="209">
        <v>830602</v>
      </c>
      <c r="AC28" s="178" t="str">
        <f>IF(OR(M28="13",M28="14",P28=8),"",IF(AND(OR(S28="AUTORIZADO", S28="PENDIENTE", S28="REDUCIDO", S28="AMPLIADO"),L28&lt;&gt;"HONORARIO" ), CONCATENATE(IF(H28="X","H",H28),"_",IF(OR(P28=5,P28=6),_xlfn.CONCAT(P28,"A"),P28),"_",VLOOKUP(T28,Datos!$B$2:$C$5,2,TRUE)),""))</f>
        <v>M_1_[11 +]</v>
      </c>
      <c r="AD28" s="178">
        <f t="shared" si="0"/>
        <v>1661204</v>
      </c>
      <c r="AE28" s="82" t="str">
        <f t="shared" si="1"/>
        <v>-</v>
      </c>
      <c r="AF28" s="83" t="str">
        <f t="shared" si="2"/>
        <v>070601</v>
      </c>
      <c r="AG28" s="84"/>
      <c r="AH28" s="85" t="str">
        <f t="shared" si="3"/>
        <v>Corporación de Fomento de la Producción</v>
      </c>
      <c r="AI28" s="82" t="str">
        <f t="shared" si="4"/>
        <v>-</v>
      </c>
      <c r="AJ28" s="82">
        <f t="shared" si="5"/>
        <v>7</v>
      </c>
      <c r="AK28" s="82" t="str">
        <f t="shared" si="6"/>
        <v>-</v>
      </c>
      <c r="AL28" s="82" t="str">
        <f t="shared" si="7"/>
        <v>Identifica este registro como MUJER</v>
      </c>
      <c r="AM28" s="82" t="str">
        <f t="shared" si="8"/>
        <v>-</v>
      </c>
      <c r="AN28" s="82" t="str">
        <f t="shared" si="9"/>
        <v>-</v>
      </c>
      <c r="AO28" s="82" t="str">
        <f t="shared" si="10"/>
        <v>-</v>
      </c>
      <c r="AP28" s="57" t="str">
        <f t="shared" si="11"/>
        <v>-</v>
      </c>
      <c r="AQ28" s="86" t="str">
        <f t="shared" si="12"/>
        <v>-</v>
      </c>
      <c r="AR28" s="86" t="str">
        <f>IF(N28="","PRIMER_DIA en blanco",
IF(AND(M28="01",N28&gt;=L_Conversion!$C$118,N28&lt;=L_Conversion!$D$118),"-",
IF(AND(M28="02",N28&gt;=L_Conversion!$C$119,N28&lt;=L_Conversion!$D$119),"-",
IF(AND(M28="03",N28&gt;=L_Conversion!$C$120,N28&lt;=L_Conversion!$D$120),"-",
IF(AND(M28="04",N28&gt;=L_Conversion!$C$121,N28&lt;=L_Conversion!$D$121),"-",
IF(AND(M28="05",N28&gt;=L_Conversion!$C$122,N28&lt;=L_Conversion!$D$122),"-",
IF(AND(M28="06",N28&gt;=L_Conversion!$C$123,N28&lt;=L_Conversion!$D$123),"-",
IF(AND(M28="07",N28&gt;=L_Conversion!$C$124,N28&lt;=L_Conversion!$D$124),"-",
IF(AND(M28="08",N28&gt;=L_Conversion!$C$125,N28&lt;=L_Conversion!$D$125),"-",
IF(AND(M28="09",N28&gt;=L_Conversion!$C$126,N28&lt;=L_Conversion!$D$126),"-",
IF(AND(M28="10",N28&gt;=L_Conversion!$C$127,N28&lt;=L_Conversion!$D$127),"-",
IF(AND(M28="11",N28&gt;=L_Conversion!$C$128,N28&lt;=L_Conversion!$D$128),"-",
IF(AND(M28="12",N28&gt;=L_Conversion!$C$129,N28&lt;=L_Conversion!$D$129),"-",
IF(AND(M28="13",N28&gt;=L_Conversion!$C$116,N28&lt;=L_Conversion!$D$116),"-",
IF(AND(M28="14",N28&gt;=L_Conversion!$C$117,N28&lt;=L_Conversion!$D$117),"-",
"PRIMER_DIA fuera de rango")))))))))))))))</f>
        <v>-</v>
      </c>
      <c r="AS28" s="86" t="str">
        <f t="shared" si="13"/>
        <v>-</v>
      </c>
      <c r="AT28" s="86" t="str">
        <f t="shared" si="14"/>
        <v>-</v>
      </c>
      <c r="AU28" s="86" t="str">
        <f t="shared" si="15"/>
        <v>-</v>
      </c>
      <c r="AV28" s="86" t="str">
        <f t="shared" si="16"/>
        <v>-</v>
      </c>
      <c r="AW28" s="86" t="str">
        <f t="shared" si="17"/>
        <v>-</v>
      </c>
      <c r="AX28" s="86" t="str">
        <f t="shared" si="18"/>
        <v>-</v>
      </c>
      <c r="AY28" s="86" t="str">
        <f t="shared" si="19"/>
        <v>-</v>
      </c>
      <c r="AZ28" s="86" t="str">
        <f t="shared" si="20"/>
        <v>-</v>
      </c>
      <c r="BA28" s="86" t="str">
        <f t="shared" si="21"/>
        <v>-</v>
      </c>
      <c r="BB28" s="86" t="str">
        <f t="shared" si="22"/>
        <v>-</v>
      </c>
      <c r="BC28" s="86" t="str">
        <f t="shared" si="23"/>
        <v>-</v>
      </c>
      <c r="BD28" s="86" t="str">
        <f t="shared" si="24"/>
        <v>-</v>
      </c>
      <c r="BE28" s="86" t="str">
        <f t="shared" si="25"/>
        <v>-</v>
      </c>
      <c r="BF28" s="86" t="str">
        <f t="shared" si="26"/>
        <v>-</v>
      </c>
    </row>
    <row r="29" spans="1:58" x14ac:dyDescent="0.2">
      <c r="A29" s="80" t="s">
        <v>1144</v>
      </c>
      <c r="B29" s="92" t="s">
        <v>76</v>
      </c>
      <c r="C29" s="202">
        <v>17457296</v>
      </c>
      <c r="D29" s="203">
        <v>8</v>
      </c>
      <c r="E29" s="204" t="s">
        <v>1210</v>
      </c>
      <c r="F29" s="204" t="s">
        <v>1211</v>
      </c>
      <c r="G29" s="204" t="s">
        <v>1212</v>
      </c>
      <c r="H29" s="205" t="s">
        <v>1033</v>
      </c>
      <c r="I29" s="205" t="s">
        <v>663</v>
      </c>
      <c r="J29" s="203">
        <v>80</v>
      </c>
      <c r="K29" s="204" t="s">
        <v>563</v>
      </c>
      <c r="L29" s="206" t="s">
        <v>516</v>
      </c>
      <c r="M29" s="210" t="s">
        <v>18</v>
      </c>
      <c r="N29" s="211">
        <v>45665</v>
      </c>
      <c r="O29" s="207">
        <v>41</v>
      </c>
      <c r="P29" s="203">
        <v>3</v>
      </c>
      <c r="Q29" s="205" t="s">
        <v>23</v>
      </c>
      <c r="R29" s="205" t="s">
        <v>11</v>
      </c>
      <c r="S29" s="205" t="s">
        <v>23</v>
      </c>
      <c r="T29" s="207">
        <v>41</v>
      </c>
      <c r="U29" s="208" t="s">
        <v>11</v>
      </c>
      <c r="V29" s="212" t="s">
        <v>11</v>
      </c>
      <c r="W29" s="212" t="s">
        <v>19</v>
      </c>
      <c r="X29" s="209">
        <v>3514567</v>
      </c>
      <c r="Y29" s="213" t="s">
        <v>735</v>
      </c>
      <c r="Z29" s="209">
        <v>41</v>
      </c>
      <c r="AA29" s="209">
        <v>3514567</v>
      </c>
      <c r="AB29" s="209">
        <v>3514567</v>
      </c>
      <c r="AC29" s="178" t="str">
        <f>IF(OR(M29="13",M29="14",P29=8),"",IF(AND(OR(S29="AUTORIZADO", S29="PENDIENTE", S29="REDUCIDO", S29="AMPLIADO"),L29&lt;&gt;"HONORARIO" ), CONCATENATE(IF(H29="X","H",H29),"_",IF(OR(P29=5,P29=6),_xlfn.CONCAT(P29,"A"),P29),"_",VLOOKUP(T29,Datos!$B$2:$C$5,2,TRUE)),""))</f>
        <v>M_3_[11 +]</v>
      </c>
      <c r="AD29" s="178">
        <f t="shared" si="0"/>
        <v>7029134</v>
      </c>
      <c r="AE29" s="82" t="str">
        <f t="shared" si="1"/>
        <v>-</v>
      </c>
      <c r="AF29" s="83" t="str">
        <f t="shared" si="2"/>
        <v>070601</v>
      </c>
      <c r="AG29" s="84"/>
      <c r="AH29" s="85" t="str">
        <f t="shared" si="3"/>
        <v>Corporación de Fomento de la Producción</v>
      </c>
      <c r="AI29" s="82" t="str">
        <f t="shared" si="4"/>
        <v>-</v>
      </c>
      <c r="AJ29" s="82">
        <f t="shared" si="5"/>
        <v>8</v>
      </c>
      <c r="AK29" s="82" t="str">
        <f t="shared" si="6"/>
        <v>-</v>
      </c>
      <c r="AL29" s="82" t="str">
        <f t="shared" si="7"/>
        <v>Identifica este registro como MUJER</v>
      </c>
      <c r="AM29" s="82" t="str">
        <f t="shared" si="8"/>
        <v>-</v>
      </c>
      <c r="AN29" s="82" t="str">
        <f t="shared" si="9"/>
        <v>-</v>
      </c>
      <c r="AO29" s="82" t="str">
        <f t="shared" si="10"/>
        <v>-</v>
      </c>
      <c r="AP29" s="57" t="str">
        <f t="shared" si="11"/>
        <v>-</v>
      </c>
      <c r="AQ29" s="86" t="str">
        <f t="shared" si="12"/>
        <v>-</v>
      </c>
      <c r="AR29" s="86" t="str">
        <f>IF(N29="","PRIMER_DIA en blanco",
IF(AND(M29="01",N29&gt;=L_Conversion!$C$118,N29&lt;=L_Conversion!$D$118),"-",
IF(AND(M29="02",N29&gt;=L_Conversion!$C$119,N29&lt;=L_Conversion!$D$119),"-",
IF(AND(M29="03",N29&gt;=L_Conversion!$C$120,N29&lt;=L_Conversion!$D$120),"-",
IF(AND(M29="04",N29&gt;=L_Conversion!$C$121,N29&lt;=L_Conversion!$D$121),"-",
IF(AND(M29="05",N29&gt;=L_Conversion!$C$122,N29&lt;=L_Conversion!$D$122),"-",
IF(AND(M29="06",N29&gt;=L_Conversion!$C$123,N29&lt;=L_Conversion!$D$123),"-",
IF(AND(M29="07",N29&gt;=L_Conversion!$C$124,N29&lt;=L_Conversion!$D$124),"-",
IF(AND(M29="08",N29&gt;=L_Conversion!$C$125,N29&lt;=L_Conversion!$D$125),"-",
IF(AND(M29="09",N29&gt;=L_Conversion!$C$126,N29&lt;=L_Conversion!$D$126),"-",
IF(AND(M29="10",N29&gt;=L_Conversion!$C$127,N29&lt;=L_Conversion!$D$127),"-",
IF(AND(M29="11",N29&gt;=L_Conversion!$C$128,N29&lt;=L_Conversion!$D$128),"-",
IF(AND(M29="12",N29&gt;=L_Conversion!$C$129,N29&lt;=L_Conversion!$D$129),"-",
IF(AND(M29="13",N29&gt;=L_Conversion!$C$116,N29&lt;=L_Conversion!$D$116),"-",
IF(AND(M29="14",N29&gt;=L_Conversion!$C$117,N29&lt;=L_Conversion!$D$117),"-",
"PRIMER_DIA fuera de rango")))))))))))))))</f>
        <v>-</v>
      </c>
      <c r="AS29" s="86" t="str">
        <f t="shared" si="13"/>
        <v>-</v>
      </c>
      <c r="AT29" s="86" t="str">
        <f t="shared" si="14"/>
        <v>-</v>
      </c>
      <c r="AU29" s="86" t="str">
        <f t="shared" si="15"/>
        <v>-</v>
      </c>
      <c r="AV29" s="86" t="str">
        <f t="shared" si="16"/>
        <v>-</v>
      </c>
      <c r="AW29" s="86" t="str">
        <f t="shared" si="17"/>
        <v>-</v>
      </c>
      <c r="AX29" s="86" t="str">
        <f t="shared" si="18"/>
        <v>-</v>
      </c>
      <c r="AY29" s="86" t="str">
        <f t="shared" si="19"/>
        <v>-</v>
      </c>
      <c r="AZ29" s="86" t="str">
        <f t="shared" si="20"/>
        <v>-</v>
      </c>
      <c r="BA29" s="86" t="str">
        <f t="shared" si="21"/>
        <v>-</v>
      </c>
      <c r="BB29" s="86" t="str">
        <f t="shared" si="22"/>
        <v>-</v>
      </c>
      <c r="BC29" s="86" t="str">
        <f t="shared" si="23"/>
        <v>-</v>
      </c>
      <c r="BD29" s="86" t="str">
        <f t="shared" si="24"/>
        <v>-</v>
      </c>
      <c r="BE29" s="86" t="str">
        <f t="shared" si="25"/>
        <v>-</v>
      </c>
      <c r="BF29" s="86" t="str">
        <f t="shared" si="26"/>
        <v>-</v>
      </c>
    </row>
    <row r="30" spans="1:58" x14ac:dyDescent="0.2">
      <c r="A30" s="80" t="s">
        <v>1144</v>
      </c>
      <c r="B30" s="92" t="s">
        <v>76</v>
      </c>
      <c r="C30" s="202">
        <v>11375161</v>
      </c>
      <c r="D30" s="203">
        <v>4</v>
      </c>
      <c r="E30" s="204" t="s">
        <v>1195</v>
      </c>
      <c r="F30" s="204" t="s">
        <v>1218</v>
      </c>
      <c r="G30" s="204" t="s">
        <v>1270</v>
      </c>
      <c r="H30" s="205" t="s">
        <v>663</v>
      </c>
      <c r="I30" s="205" t="s">
        <v>662</v>
      </c>
      <c r="J30" s="203">
        <v>80</v>
      </c>
      <c r="K30" s="204" t="s">
        <v>569</v>
      </c>
      <c r="L30" s="206" t="s">
        <v>502</v>
      </c>
      <c r="M30" s="210" t="s">
        <v>18</v>
      </c>
      <c r="N30" s="211">
        <v>45665</v>
      </c>
      <c r="O30" s="207">
        <v>21</v>
      </c>
      <c r="P30" s="203">
        <v>1</v>
      </c>
      <c r="Q30" s="205" t="s">
        <v>23</v>
      </c>
      <c r="R30" s="205" t="s">
        <v>11</v>
      </c>
      <c r="S30" s="205" t="s">
        <v>23</v>
      </c>
      <c r="T30" s="207">
        <v>21</v>
      </c>
      <c r="U30" s="208" t="s">
        <v>11</v>
      </c>
      <c r="V30" s="212" t="s">
        <v>11</v>
      </c>
      <c r="W30" s="212" t="s">
        <v>19</v>
      </c>
      <c r="X30" s="209">
        <v>682454</v>
      </c>
      <c r="Y30" s="213" t="s">
        <v>735</v>
      </c>
      <c r="Z30" s="209">
        <v>21</v>
      </c>
      <c r="AA30" s="209">
        <v>682454</v>
      </c>
      <c r="AB30" s="209">
        <v>682454</v>
      </c>
      <c r="AC30" s="178" t="str">
        <f>IF(OR(M30="13",M30="14",P30=8),"",IF(AND(OR(S30="AUTORIZADO", S30="PENDIENTE", S30="REDUCIDO", S30="AMPLIADO"),L30&lt;&gt;"HONORARIO" ), CONCATENATE(IF(H30="X","H",H30),"_",IF(OR(P30=5,P30=6),_xlfn.CONCAT(P30,"A"),P30),"_",VLOOKUP(T30,Datos!$B$2:$C$5,2,TRUE)),""))</f>
        <v>H_1_[11 +]</v>
      </c>
      <c r="AD30" s="178">
        <f t="shared" si="0"/>
        <v>1364908</v>
      </c>
      <c r="AE30" s="82" t="str">
        <f t="shared" si="1"/>
        <v>-</v>
      </c>
      <c r="AF30" s="83" t="str">
        <f t="shared" si="2"/>
        <v>070601</v>
      </c>
      <c r="AG30" s="84"/>
      <c r="AH30" s="85" t="str">
        <f t="shared" si="3"/>
        <v>Corporación de Fomento de la Producción</v>
      </c>
      <c r="AI30" s="82" t="str">
        <f t="shared" si="4"/>
        <v>-</v>
      </c>
      <c r="AJ30" s="82">
        <f t="shared" si="5"/>
        <v>4</v>
      </c>
      <c r="AK30" s="82" t="str">
        <f t="shared" si="6"/>
        <v>-</v>
      </c>
      <c r="AL30" s="82" t="str">
        <f t="shared" si="7"/>
        <v>Identifica este registro como HOMBRE</v>
      </c>
      <c r="AM30" s="82" t="str">
        <f t="shared" si="8"/>
        <v>-</v>
      </c>
      <c r="AN30" s="82" t="str">
        <f t="shared" si="9"/>
        <v>-</v>
      </c>
      <c r="AO30" s="82" t="str">
        <f t="shared" si="10"/>
        <v>-</v>
      </c>
      <c r="AP30" s="57" t="str">
        <f t="shared" si="11"/>
        <v>-</v>
      </c>
      <c r="AQ30" s="86" t="str">
        <f t="shared" si="12"/>
        <v>-</v>
      </c>
      <c r="AR30" s="86" t="str">
        <f>IF(N30="","PRIMER_DIA en blanco",
IF(AND(M30="01",N30&gt;=L_Conversion!$C$118,N30&lt;=L_Conversion!$D$118),"-",
IF(AND(M30="02",N30&gt;=L_Conversion!$C$119,N30&lt;=L_Conversion!$D$119),"-",
IF(AND(M30="03",N30&gt;=L_Conversion!$C$120,N30&lt;=L_Conversion!$D$120),"-",
IF(AND(M30="04",N30&gt;=L_Conversion!$C$121,N30&lt;=L_Conversion!$D$121),"-",
IF(AND(M30="05",N30&gt;=L_Conversion!$C$122,N30&lt;=L_Conversion!$D$122),"-",
IF(AND(M30="06",N30&gt;=L_Conversion!$C$123,N30&lt;=L_Conversion!$D$123),"-",
IF(AND(M30="07",N30&gt;=L_Conversion!$C$124,N30&lt;=L_Conversion!$D$124),"-",
IF(AND(M30="08",N30&gt;=L_Conversion!$C$125,N30&lt;=L_Conversion!$D$125),"-",
IF(AND(M30="09",N30&gt;=L_Conversion!$C$126,N30&lt;=L_Conversion!$D$126),"-",
IF(AND(M30="10",N30&gt;=L_Conversion!$C$127,N30&lt;=L_Conversion!$D$127),"-",
IF(AND(M30="11",N30&gt;=L_Conversion!$C$128,N30&lt;=L_Conversion!$D$128),"-",
IF(AND(M30="12",N30&gt;=L_Conversion!$C$129,N30&lt;=L_Conversion!$D$129),"-",
IF(AND(M30="13",N30&gt;=L_Conversion!$C$116,N30&lt;=L_Conversion!$D$116),"-",
IF(AND(M30="14",N30&gt;=L_Conversion!$C$117,N30&lt;=L_Conversion!$D$117),"-",
"PRIMER_DIA fuera de rango")))))))))))))))</f>
        <v>-</v>
      </c>
      <c r="AS30" s="86" t="str">
        <f t="shared" si="13"/>
        <v>-</v>
      </c>
      <c r="AT30" s="86" t="str">
        <f t="shared" si="14"/>
        <v>-</v>
      </c>
      <c r="AU30" s="86" t="str">
        <f t="shared" si="15"/>
        <v>-</v>
      </c>
      <c r="AV30" s="86" t="str">
        <f t="shared" si="16"/>
        <v>-</v>
      </c>
      <c r="AW30" s="86" t="str">
        <f t="shared" si="17"/>
        <v>-</v>
      </c>
      <c r="AX30" s="86" t="str">
        <f t="shared" si="18"/>
        <v>-</v>
      </c>
      <c r="AY30" s="86" t="str">
        <f t="shared" si="19"/>
        <v>-</v>
      </c>
      <c r="AZ30" s="86" t="str">
        <f t="shared" si="20"/>
        <v>-</v>
      </c>
      <c r="BA30" s="86" t="str">
        <f t="shared" si="21"/>
        <v>-</v>
      </c>
      <c r="BB30" s="86" t="str">
        <f t="shared" si="22"/>
        <v>-</v>
      </c>
      <c r="BC30" s="86" t="str">
        <f t="shared" si="23"/>
        <v>-</v>
      </c>
      <c r="BD30" s="86" t="str">
        <f t="shared" si="24"/>
        <v>-</v>
      </c>
      <c r="BE30" s="86" t="str">
        <f t="shared" si="25"/>
        <v>-</v>
      </c>
      <c r="BF30" s="86" t="str">
        <f t="shared" si="26"/>
        <v>-</v>
      </c>
    </row>
    <row r="31" spans="1:58" x14ac:dyDescent="0.2">
      <c r="A31" s="80" t="s">
        <v>1144</v>
      </c>
      <c r="B31" s="92" t="s">
        <v>76</v>
      </c>
      <c r="C31" s="202">
        <v>13984355</v>
      </c>
      <c r="D31" s="203" t="s">
        <v>1151</v>
      </c>
      <c r="E31" s="204" t="s">
        <v>1271</v>
      </c>
      <c r="F31" s="204" t="s">
        <v>1272</v>
      </c>
      <c r="G31" s="204" t="s">
        <v>1273</v>
      </c>
      <c r="H31" s="205" t="s">
        <v>1033</v>
      </c>
      <c r="I31" s="205" t="s">
        <v>662</v>
      </c>
      <c r="J31" s="203">
        <v>80</v>
      </c>
      <c r="K31" s="204" t="s">
        <v>563</v>
      </c>
      <c r="L31" s="206" t="s">
        <v>502</v>
      </c>
      <c r="M31" s="210" t="s">
        <v>18</v>
      </c>
      <c r="N31" s="211">
        <v>45665</v>
      </c>
      <c r="O31" s="207">
        <v>3</v>
      </c>
      <c r="P31" s="203">
        <v>1</v>
      </c>
      <c r="Q31" s="205" t="s">
        <v>23</v>
      </c>
      <c r="R31" s="205" t="s">
        <v>11</v>
      </c>
      <c r="S31" s="205" t="s">
        <v>23</v>
      </c>
      <c r="T31" s="207">
        <v>3</v>
      </c>
      <c r="U31" s="208" t="s">
        <v>11</v>
      </c>
      <c r="V31" s="212" t="s">
        <v>19</v>
      </c>
      <c r="W31" s="212" t="s">
        <v>19</v>
      </c>
      <c r="X31" s="209">
        <v>55941</v>
      </c>
      <c r="Y31" s="213" t="s">
        <v>735</v>
      </c>
      <c r="Z31" s="209">
        <v>3</v>
      </c>
      <c r="AA31" s="209">
        <v>55941</v>
      </c>
      <c r="AB31" s="209">
        <v>55941</v>
      </c>
      <c r="AC31" s="178" t="str">
        <f>IF(OR(M31="13",M31="14",P31=8),"",IF(AND(OR(S31="AUTORIZADO", S31="PENDIENTE", S31="REDUCIDO", S31="AMPLIADO"),L31&lt;&gt;"HONORARIO" ), CONCATENATE(IF(H31="X","H",H31),"_",IF(OR(P31=5,P31=6),_xlfn.CONCAT(P31,"A"),P31),"_",VLOOKUP(T31,Datos!$B$2:$C$5,2,TRUE)),""))</f>
        <v>M_1_[hasta 3]</v>
      </c>
      <c r="AD31" s="178">
        <f t="shared" si="0"/>
        <v>111882</v>
      </c>
      <c r="AE31" s="82" t="str">
        <f t="shared" si="1"/>
        <v>-</v>
      </c>
      <c r="AF31" s="83" t="str">
        <f t="shared" si="2"/>
        <v>070601</v>
      </c>
      <c r="AG31" s="84"/>
      <c r="AH31" s="85" t="str">
        <f t="shared" si="3"/>
        <v>Corporación de Fomento de la Producción</v>
      </c>
      <c r="AI31" s="82" t="str">
        <f t="shared" si="4"/>
        <v>-</v>
      </c>
      <c r="AJ31" s="82" t="str">
        <f t="shared" si="5"/>
        <v>K</v>
      </c>
      <c r="AK31" s="82" t="str">
        <f t="shared" si="6"/>
        <v>-</v>
      </c>
      <c r="AL31" s="82" t="str">
        <f t="shared" si="7"/>
        <v>Identifica este registro como MUJER</v>
      </c>
      <c r="AM31" s="82" t="str">
        <f t="shared" si="8"/>
        <v>-</v>
      </c>
      <c r="AN31" s="82" t="str">
        <f t="shared" si="9"/>
        <v>-</v>
      </c>
      <c r="AO31" s="82" t="str">
        <f t="shared" si="10"/>
        <v>-</v>
      </c>
      <c r="AP31" s="57" t="str">
        <f t="shared" si="11"/>
        <v>-</v>
      </c>
      <c r="AQ31" s="86" t="str">
        <f t="shared" si="12"/>
        <v>-</v>
      </c>
      <c r="AR31" s="86" t="str">
        <f>IF(N31="","PRIMER_DIA en blanco",
IF(AND(M31="01",N31&gt;=L_Conversion!$C$118,N31&lt;=L_Conversion!$D$118),"-",
IF(AND(M31="02",N31&gt;=L_Conversion!$C$119,N31&lt;=L_Conversion!$D$119),"-",
IF(AND(M31="03",N31&gt;=L_Conversion!$C$120,N31&lt;=L_Conversion!$D$120),"-",
IF(AND(M31="04",N31&gt;=L_Conversion!$C$121,N31&lt;=L_Conversion!$D$121),"-",
IF(AND(M31="05",N31&gt;=L_Conversion!$C$122,N31&lt;=L_Conversion!$D$122),"-",
IF(AND(M31="06",N31&gt;=L_Conversion!$C$123,N31&lt;=L_Conversion!$D$123),"-",
IF(AND(M31="07",N31&gt;=L_Conversion!$C$124,N31&lt;=L_Conversion!$D$124),"-",
IF(AND(M31="08",N31&gt;=L_Conversion!$C$125,N31&lt;=L_Conversion!$D$125),"-",
IF(AND(M31="09",N31&gt;=L_Conversion!$C$126,N31&lt;=L_Conversion!$D$126),"-",
IF(AND(M31="10",N31&gt;=L_Conversion!$C$127,N31&lt;=L_Conversion!$D$127),"-",
IF(AND(M31="11",N31&gt;=L_Conversion!$C$128,N31&lt;=L_Conversion!$D$128),"-",
IF(AND(M31="12",N31&gt;=L_Conversion!$C$129,N31&lt;=L_Conversion!$D$129),"-",
IF(AND(M31="13",N31&gt;=L_Conversion!$C$116,N31&lt;=L_Conversion!$D$116),"-",
IF(AND(M31="14",N31&gt;=L_Conversion!$C$117,N31&lt;=L_Conversion!$D$117),"-",
"PRIMER_DIA fuera de rango")))))))))))))))</f>
        <v>-</v>
      </c>
      <c r="AS31" s="86" t="str">
        <f t="shared" si="13"/>
        <v>-</v>
      </c>
      <c r="AT31" s="86" t="str">
        <f t="shared" si="14"/>
        <v>-</v>
      </c>
      <c r="AU31" s="86" t="str">
        <f t="shared" si="15"/>
        <v>-</v>
      </c>
      <c r="AV31" s="86" t="str">
        <f t="shared" si="16"/>
        <v>-</v>
      </c>
      <c r="AW31" s="86" t="str">
        <f t="shared" si="17"/>
        <v>-</v>
      </c>
      <c r="AX31" s="86" t="str">
        <f t="shared" si="18"/>
        <v>-</v>
      </c>
      <c r="AY31" s="86" t="str">
        <f t="shared" si="19"/>
        <v>-</v>
      </c>
      <c r="AZ31" s="86" t="str">
        <f t="shared" si="20"/>
        <v>-</v>
      </c>
      <c r="BA31" s="86" t="str">
        <f t="shared" si="21"/>
        <v>-</v>
      </c>
      <c r="BB31" s="86" t="str">
        <f t="shared" si="22"/>
        <v>-</v>
      </c>
      <c r="BC31" s="86" t="str">
        <f t="shared" si="23"/>
        <v>-</v>
      </c>
      <c r="BD31" s="86" t="str">
        <f t="shared" si="24"/>
        <v>-</v>
      </c>
      <c r="BE31" s="86" t="str">
        <f t="shared" si="25"/>
        <v>-</v>
      </c>
      <c r="BF31" s="86" t="str">
        <f t="shared" si="26"/>
        <v>-</v>
      </c>
    </row>
    <row r="32" spans="1:58" x14ac:dyDescent="0.2">
      <c r="A32" s="80" t="s">
        <v>1144</v>
      </c>
      <c r="B32" s="92" t="s">
        <v>76</v>
      </c>
      <c r="C32" s="202">
        <v>16624463</v>
      </c>
      <c r="D32" s="203">
        <v>3</v>
      </c>
      <c r="E32" s="204" t="s">
        <v>1239</v>
      </c>
      <c r="F32" s="204" t="s">
        <v>1202</v>
      </c>
      <c r="G32" s="204" t="s">
        <v>1240</v>
      </c>
      <c r="H32" s="205" t="s">
        <v>1033</v>
      </c>
      <c r="I32" s="205" t="s">
        <v>662</v>
      </c>
      <c r="J32" s="203">
        <v>80</v>
      </c>
      <c r="K32" s="204" t="s">
        <v>567</v>
      </c>
      <c r="L32" s="206" t="s">
        <v>502</v>
      </c>
      <c r="M32" s="210" t="s">
        <v>18</v>
      </c>
      <c r="N32" s="211">
        <v>45665</v>
      </c>
      <c r="O32" s="207">
        <v>11</v>
      </c>
      <c r="P32" s="203">
        <v>1</v>
      </c>
      <c r="Q32" s="205" t="s">
        <v>23</v>
      </c>
      <c r="R32" s="205" t="s">
        <v>11</v>
      </c>
      <c r="S32" s="205" t="s">
        <v>23</v>
      </c>
      <c r="T32" s="207">
        <v>11</v>
      </c>
      <c r="U32" s="208" t="s">
        <v>11</v>
      </c>
      <c r="V32" s="212" t="s">
        <v>11</v>
      </c>
      <c r="W32" s="212" t="s">
        <v>19</v>
      </c>
      <c r="X32" s="209">
        <v>509868</v>
      </c>
      <c r="Y32" s="213" t="s">
        <v>735</v>
      </c>
      <c r="Z32" s="209">
        <v>11</v>
      </c>
      <c r="AA32" s="209">
        <v>509868</v>
      </c>
      <c r="AB32" s="209">
        <v>509868</v>
      </c>
      <c r="AC32" s="178" t="str">
        <f>IF(OR(M32="13",M32="14",P32=8),"",IF(AND(OR(S32="AUTORIZADO", S32="PENDIENTE", S32="REDUCIDO", S32="AMPLIADO"),L32&lt;&gt;"HONORARIO" ), CONCATENATE(IF(H32="X","H",H32),"_",IF(OR(P32=5,P32=6),_xlfn.CONCAT(P32,"A"),P32),"_",VLOOKUP(T32,Datos!$B$2:$C$5,2,TRUE)),""))</f>
        <v>M_1_[11 +]</v>
      </c>
      <c r="AD32" s="178">
        <f t="shared" si="0"/>
        <v>1019736</v>
      </c>
      <c r="AE32" s="82" t="str">
        <f t="shared" si="1"/>
        <v>-</v>
      </c>
      <c r="AF32" s="83" t="str">
        <f t="shared" si="2"/>
        <v>070601</v>
      </c>
      <c r="AG32" s="84"/>
      <c r="AH32" s="85" t="str">
        <f t="shared" si="3"/>
        <v>Corporación de Fomento de la Producción</v>
      </c>
      <c r="AI32" s="82" t="str">
        <f t="shared" si="4"/>
        <v>-</v>
      </c>
      <c r="AJ32" s="82">
        <f t="shared" si="5"/>
        <v>3</v>
      </c>
      <c r="AK32" s="82" t="str">
        <f t="shared" si="6"/>
        <v>-</v>
      </c>
      <c r="AL32" s="82" t="str">
        <f t="shared" si="7"/>
        <v>Identifica este registro como MUJER</v>
      </c>
      <c r="AM32" s="82" t="str">
        <f t="shared" si="8"/>
        <v>-</v>
      </c>
      <c r="AN32" s="82" t="str">
        <f t="shared" si="9"/>
        <v>-</v>
      </c>
      <c r="AO32" s="82" t="str">
        <f t="shared" si="10"/>
        <v>-</v>
      </c>
      <c r="AP32" s="57" t="str">
        <f t="shared" si="11"/>
        <v>-</v>
      </c>
      <c r="AQ32" s="86" t="str">
        <f t="shared" si="12"/>
        <v>-</v>
      </c>
      <c r="AR32" s="86" t="str">
        <f>IF(N32="","PRIMER_DIA en blanco",
IF(AND(M32="01",N32&gt;=L_Conversion!$C$118,N32&lt;=L_Conversion!$D$118),"-",
IF(AND(M32="02",N32&gt;=L_Conversion!$C$119,N32&lt;=L_Conversion!$D$119),"-",
IF(AND(M32="03",N32&gt;=L_Conversion!$C$120,N32&lt;=L_Conversion!$D$120),"-",
IF(AND(M32="04",N32&gt;=L_Conversion!$C$121,N32&lt;=L_Conversion!$D$121),"-",
IF(AND(M32="05",N32&gt;=L_Conversion!$C$122,N32&lt;=L_Conversion!$D$122),"-",
IF(AND(M32="06",N32&gt;=L_Conversion!$C$123,N32&lt;=L_Conversion!$D$123),"-",
IF(AND(M32="07",N32&gt;=L_Conversion!$C$124,N32&lt;=L_Conversion!$D$124),"-",
IF(AND(M32="08",N32&gt;=L_Conversion!$C$125,N32&lt;=L_Conversion!$D$125),"-",
IF(AND(M32="09",N32&gt;=L_Conversion!$C$126,N32&lt;=L_Conversion!$D$126),"-",
IF(AND(M32="10",N32&gt;=L_Conversion!$C$127,N32&lt;=L_Conversion!$D$127),"-",
IF(AND(M32="11",N32&gt;=L_Conversion!$C$128,N32&lt;=L_Conversion!$D$128),"-",
IF(AND(M32="12",N32&gt;=L_Conversion!$C$129,N32&lt;=L_Conversion!$D$129),"-",
IF(AND(M32="13",N32&gt;=L_Conversion!$C$116,N32&lt;=L_Conversion!$D$116),"-",
IF(AND(M32="14",N32&gt;=L_Conversion!$C$117,N32&lt;=L_Conversion!$D$117),"-",
"PRIMER_DIA fuera de rango")))))))))))))))</f>
        <v>-</v>
      </c>
      <c r="AS32" s="86" t="str">
        <f t="shared" si="13"/>
        <v>-</v>
      </c>
      <c r="AT32" s="86" t="str">
        <f t="shared" si="14"/>
        <v>-</v>
      </c>
      <c r="AU32" s="86" t="str">
        <f t="shared" si="15"/>
        <v>-</v>
      </c>
      <c r="AV32" s="86" t="str">
        <f t="shared" si="16"/>
        <v>-</v>
      </c>
      <c r="AW32" s="86" t="str">
        <f t="shared" si="17"/>
        <v>-</v>
      </c>
      <c r="AX32" s="86" t="str">
        <f t="shared" si="18"/>
        <v>-</v>
      </c>
      <c r="AY32" s="86" t="str">
        <f t="shared" si="19"/>
        <v>-</v>
      </c>
      <c r="AZ32" s="86" t="str">
        <f t="shared" si="20"/>
        <v>-</v>
      </c>
      <c r="BA32" s="86" t="str">
        <f t="shared" si="21"/>
        <v>-</v>
      </c>
      <c r="BB32" s="86" t="str">
        <f t="shared" si="22"/>
        <v>-</v>
      </c>
      <c r="BC32" s="86" t="str">
        <f t="shared" si="23"/>
        <v>-</v>
      </c>
      <c r="BD32" s="86" t="str">
        <f t="shared" si="24"/>
        <v>-</v>
      </c>
      <c r="BE32" s="86" t="str">
        <f t="shared" si="25"/>
        <v>-</v>
      </c>
      <c r="BF32" s="86" t="str">
        <f t="shared" si="26"/>
        <v>-</v>
      </c>
    </row>
    <row r="33" spans="1:58" x14ac:dyDescent="0.2">
      <c r="A33" s="80" t="s">
        <v>1144</v>
      </c>
      <c r="B33" s="92" t="s">
        <v>1274</v>
      </c>
      <c r="C33" s="202">
        <v>13396757</v>
      </c>
      <c r="D33" s="203">
        <v>5</v>
      </c>
      <c r="E33" s="204" t="s">
        <v>1275</v>
      </c>
      <c r="F33" s="204" t="s">
        <v>1276</v>
      </c>
      <c r="G33" s="204" t="s">
        <v>1200</v>
      </c>
      <c r="H33" s="205" t="s">
        <v>663</v>
      </c>
      <c r="I33" s="205" t="s">
        <v>663</v>
      </c>
      <c r="J33" s="203">
        <v>80</v>
      </c>
      <c r="K33" s="204" t="s">
        <v>561</v>
      </c>
      <c r="L33" s="206" t="s">
        <v>516</v>
      </c>
      <c r="M33" s="210" t="s">
        <v>18</v>
      </c>
      <c r="N33" s="211">
        <v>45665</v>
      </c>
      <c r="O33" s="207">
        <v>2</v>
      </c>
      <c r="P33" s="203">
        <v>1</v>
      </c>
      <c r="Q33" s="205" t="s">
        <v>23</v>
      </c>
      <c r="R33" s="205" t="s">
        <v>11</v>
      </c>
      <c r="S33" s="205" t="s">
        <v>23</v>
      </c>
      <c r="T33" s="207">
        <v>2</v>
      </c>
      <c r="U33" s="208" t="s">
        <v>11</v>
      </c>
      <c r="V33" s="212" t="s">
        <v>19</v>
      </c>
      <c r="W33" s="212" t="s">
        <v>19</v>
      </c>
      <c r="X33" s="209">
        <v>53985</v>
      </c>
      <c r="Y33" s="213" t="s">
        <v>735</v>
      </c>
      <c r="Z33" s="209">
        <v>2</v>
      </c>
      <c r="AA33" s="209">
        <v>53985</v>
      </c>
      <c r="AB33" s="209">
        <v>53985</v>
      </c>
      <c r="AC33" s="178" t="str">
        <f>IF(OR(M33="13",M33="14",P33=8),"",IF(AND(OR(S33="AUTORIZADO", S33="PENDIENTE", S33="REDUCIDO", S33="AMPLIADO"),L33&lt;&gt;"HONORARIO" ), CONCATENATE(IF(H33="X","H",H33),"_",IF(OR(P33=5,P33=6),_xlfn.CONCAT(P33,"A"),P33),"_",VLOOKUP(T33,Datos!$B$2:$C$5,2,TRUE)),""))</f>
        <v>H_1_[hasta 3]</v>
      </c>
      <c r="AD33" s="178">
        <f t="shared" si="0"/>
        <v>107970</v>
      </c>
      <c r="AE33" s="82" t="str">
        <f t="shared" si="1"/>
        <v>-</v>
      </c>
      <c r="AF33" s="83" t="str">
        <f t="shared" si="2"/>
        <v>Revisar</v>
      </c>
      <c r="AG33" s="84"/>
      <c r="AH33" s="85" t="str">
        <f t="shared" si="3"/>
        <v>Corregir código servicio</v>
      </c>
      <c r="AI33" s="82" t="str">
        <f t="shared" si="4"/>
        <v>-</v>
      </c>
      <c r="AJ33" s="82">
        <f t="shared" si="5"/>
        <v>5</v>
      </c>
      <c r="AK33" s="82" t="str">
        <f t="shared" si="6"/>
        <v>-</v>
      </c>
      <c r="AL33" s="82" t="str">
        <f t="shared" si="7"/>
        <v>Identifica este registro como HOMBRE</v>
      </c>
      <c r="AM33" s="82" t="str">
        <f t="shared" si="8"/>
        <v>-</v>
      </c>
      <c r="AN33" s="82" t="str">
        <f t="shared" si="9"/>
        <v>-</v>
      </c>
      <c r="AO33" s="82" t="str">
        <f t="shared" si="10"/>
        <v>-</v>
      </c>
      <c r="AP33" s="57" t="str">
        <f t="shared" si="11"/>
        <v>-</v>
      </c>
      <c r="AQ33" s="86" t="str">
        <f t="shared" si="12"/>
        <v>-</v>
      </c>
      <c r="AR33" s="86" t="str">
        <f>IF(N33="","PRIMER_DIA en blanco",
IF(AND(M33="01",N33&gt;=L_Conversion!$C$118,N33&lt;=L_Conversion!$D$118),"-",
IF(AND(M33="02",N33&gt;=L_Conversion!$C$119,N33&lt;=L_Conversion!$D$119),"-",
IF(AND(M33="03",N33&gt;=L_Conversion!$C$120,N33&lt;=L_Conversion!$D$120),"-",
IF(AND(M33="04",N33&gt;=L_Conversion!$C$121,N33&lt;=L_Conversion!$D$121),"-",
IF(AND(M33="05",N33&gt;=L_Conversion!$C$122,N33&lt;=L_Conversion!$D$122),"-",
IF(AND(M33="06",N33&gt;=L_Conversion!$C$123,N33&lt;=L_Conversion!$D$123),"-",
IF(AND(M33="07",N33&gt;=L_Conversion!$C$124,N33&lt;=L_Conversion!$D$124),"-",
IF(AND(M33="08",N33&gt;=L_Conversion!$C$125,N33&lt;=L_Conversion!$D$125),"-",
IF(AND(M33="09",N33&gt;=L_Conversion!$C$126,N33&lt;=L_Conversion!$D$126),"-",
IF(AND(M33="10",N33&gt;=L_Conversion!$C$127,N33&lt;=L_Conversion!$D$127),"-",
IF(AND(M33="11",N33&gt;=L_Conversion!$C$128,N33&lt;=L_Conversion!$D$128),"-",
IF(AND(M33="12",N33&gt;=L_Conversion!$C$129,N33&lt;=L_Conversion!$D$129),"-",
IF(AND(M33="13",N33&gt;=L_Conversion!$C$116,N33&lt;=L_Conversion!$D$116),"-",
IF(AND(M33="14",N33&gt;=L_Conversion!$C$117,N33&lt;=L_Conversion!$D$117),"-",
"PRIMER_DIA fuera de rango")))))))))))))))</f>
        <v>-</v>
      </c>
      <c r="AS33" s="86" t="str">
        <f t="shared" si="13"/>
        <v>-</v>
      </c>
      <c r="AT33" s="86" t="str">
        <f t="shared" si="14"/>
        <v>-</v>
      </c>
      <c r="AU33" s="86" t="str">
        <f t="shared" si="15"/>
        <v>-</v>
      </c>
      <c r="AV33" s="86" t="str">
        <f t="shared" si="16"/>
        <v>-</v>
      </c>
      <c r="AW33" s="86" t="str">
        <f t="shared" si="17"/>
        <v>-</v>
      </c>
      <c r="AX33" s="86" t="str">
        <f t="shared" si="18"/>
        <v>-</v>
      </c>
      <c r="AY33" s="86" t="str">
        <f t="shared" si="19"/>
        <v>-</v>
      </c>
      <c r="AZ33" s="86" t="str">
        <f t="shared" si="20"/>
        <v>-</v>
      </c>
      <c r="BA33" s="86" t="str">
        <f t="shared" si="21"/>
        <v>-</v>
      </c>
      <c r="BB33" s="86" t="str">
        <f t="shared" si="22"/>
        <v>-</v>
      </c>
      <c r="BC33" s="86" t="str">
        <f t="shared" si="23"/>
        <v>-</v>
      </c>
      <c r="BD33" s="86" t="str">
        <f t="shared" si="24"/>
        <v>-</v>
      </c>
      <c r="BE33" s="86" t="str">
        <f t="shared" si="25"/>
        <v>-</v>
      </c>
      <c r="BF33" s="86" t="str">
        <f t="shared" si="26"/>
        <v>-</v>
      </c>
    </row>
    <row r="34" spans="1:58" x14ac:dyDescent="0.2">
      <c r="A34" s="80" t="s">
        <v>1144</v>
      </c>
      <c r="B34" s="92" t="s">
        <v>886</v>
      </c>
      <c r="C34" s="202">
        <v>12824807</v>
      </c>
      <c r="D34" s="203">
        <v>2</v>
      </c>
      <c r="E34" s="204" t="s">
        <v>1185</v>
      </c>
      <c r="F34" s="204" t="s">
        <v>1277</v>
      </c>
      <c r="G34" s="204" t="s">
        <v>1278</v>
      </c>
      <c r="H34" s="205" t="s">
        <v>663</v>
      </c>
      <c r="I34" s="205" t="s">
        <v>663</v>
      </c>
      <c r="J34" s="203">
        <v>80</v>
      </c>
      <c r="K34" s="204" t="s">
        <v>563</v>
      </c>
      <c r="L34" s="206" t="s">
        <v>516</v>
      </c>
      <c r="M34" s="210" t="s">
        <v>18</v>
      </c>
      <c r="N34" s="211">
        <v>45665</v>
      </c>
      <c r="O34" s="207">
        <v>3</v>
      </c>
      <c r="P34" s="203">
        <v>1</v>
      </c>
      <c r="Q34" s="205" t="s">
        <v>23</v>
      </c>
      <c r="R34" s="205" t="s">
        <v>11</v>
      </c>
      <c r="S34" s="205" t="s">
        <v>23</v>
      </c>
      <c r="T34" s="207">
        <v>3</v>
      </c>
      <c r="U34" s="208" t="s">
        <v>11</v>
      </c>
      <c r="V34" s="212" t="s">
        <v>19</v>
      </c>
      <c r="W34" s="212" t="s">
        <v>19</v>
      </c>
      <c r="X34" s="209">
        <v>74107</v>
      </c>
      <c r="Y34" s="213" t="s">
        <v>735</v>
      </c>
      <c r="Z34" s="209">
        <v>3</v>
      </c>
      <c r="AA34" s="209">
        <v>74107</v>
      </c>
      <c r="AB34" s="209">
        <v>74107</v>
      </c>
      <c r="AC34" s="178" t="str">
        <f>IF(OR(M34="13",M34="14",P34=8),"",IF(AND(OR(S34="AUTORIZADO", S34="PENDIENTE", S34="REDUCIDO", S34="AMPLIADO"),L34&lt;&gt;"HONORARIO" ), CONCATENATE(IF(H34="X","H",H34),"_",IF(OR(P34=5,P34=6),_xlfn.CONCAT(P34,"A"),P34),"_",VLOOKUP(T34,Datos!$B$2:$C$5,2,TRUE)),""))</f>
        <v>H_1_[hasta 3]</v>
      </c>
      <c r="AD34" s="178">
        <f t="shared" si="0"/>
        <v>148214</v>
      </c>
      <c r="AE34" s="82" t="str">
        <f t="shared" si="1"/>
        <v>-</v>
      </c>
      <c r="AF34" s="83" t="str">
        <f t="shared" si="2"/>
        <v>070606</v>
      </c>
      <c r="AG34" s="84"/>
      <c r="AH34" s="85" t="str">
        <f t="shared" si="3"/>
        <v>Corporación de Fomento de la Producción</v>
      </c>
      <c r="AI34" s="82" t="str">
        <f t="shared" si="4"/>
        <v>-</v>
      </c>
      <c r="AJ34" s="82">
        <f t="shared" si="5"/>
        <v>2</v>
      </c>
      <c r="AK34" s="82" t="str">
        <f t="shared" si="6"/>
        <v>-</v>
      </c>
      <c r="AL34" s="82" t="str">
        <f t="shared" si="7"/>
        <v>Identifica este registro como HOMBRE</v>
      </c>
      <c r="AM34" s="82" t="str">
        <f t="shared" si="8"/>
        <v>-</v>
      </c>
      <c r="AN34" s="82" t="str">
        <f t="shared" si="9"/>
        <v>-</v>
      </c>
      <c r="AO34" s="82" t="str">
        <f t="shared" si="10"/>
        <v>-</v>
      </c>
      <c r="AP34" s="57" t="str">
        <f t="shared" si="11"/>
        <v>-</v>
      </c>
      <c r="AQ34" s="86" t="str">
        <f t="shared" si="12"/>
        <v>-</v>
      </c>
      <c r="AR34" s="86" t="str">
        <f>IF(N34="","PRIMER_DIA en blanco",
IF(AND(M34="01",N34&gt;=L_Conversion!$C$118,N34&lt;=L_Conversion!$D$118),"-",
IF(AND(M34="02",N34&gt;=L_Conversion!$C$119,N34&lt;=L_Conversion!$D$119),"-",
IF(AND(M34="03",N34&gt;=L_Conversion!$C$120,N34&lt;=L_Conversion!$D$120),"-",
IF(AND(M34="04",N34&gt;=L_Conversion!$C$121,N34&lt;=L_Conversion!$D$121),"-",
IF(AND(M34="05",N34&gt;=L_Conversion!$C$122,N34&lt;=L_Conversion!$D$122),"-",
IF(AND(M34="06",N34&gt;=L_Conversion!$C$123,N34&lt;=L_Conversion!$D$123),"-",
IF(AND(M34="07",N34&gt;=L_Conversion!$C$124,N34&lt;=L_Conversion!$D$124),"-",
IF(AND(M34="08",N34&gt;=L_Conversion!$C$125,N34&lt;=L_Conversion!$D$125),"-",
IF(AND(M34="09",N34&gt;=L_Conversion!$C$126,N34&lt;=L_Conversion!$D$126),"-",
IF(AND(M34="10",N34&gt;=L_Conversion!$C$127,N34&lt;=L_Conversion!$D$127),"-",
IF(AND(M34="11",N34&gt;=L_Conversion!$C$128,N34&lt;=L_Conversion!$D$128),"-",
IF(AND(M34="12",N34&gt;=L_Conversion!$C$129,N34&lt;=L_Conversion!$D$129),"-",
IF(AND(M34="13",N34&gt;=L_Conversion!$C$116,N34&lt;=L_Conversion!$D$116),"-",
IF(AND(M34="14",N34&gt;=L_Conversion!$C$117,N34&lt;=L_Conversion!$D$117),"-",
"PRIMER_DIA fuera de rango")))))))))))))))</f>
        <v>-</v>
      </c>
      <c r="AS34" s="86" t="str">
        <f t="shared" si="13"/>
        <v>-</v>
      </c>
      <c r="AT34" s="86" t="str">
        <f t="shared" si="14"/>
        <v>-</v>
      </c>
      <c r="AU34" s="86" t="str">
        <f t="shared" si="15"/>
        <v>-</v>
      </c>
      <c r="AV34" s="86" t="str">
        <f t="shared" si="16"/>
        <v>-</v>
      </c>
      <c r="AW34" s="86" t="str">
        <f t="shared" si="17"/>
        <v>-</v>
      </c>
      <c r="AX34" s="86" t="str">
        <f t="shared" si="18"/>
        <v>-</v>
      </c>
      <c r="AY34" s="86" t="str">
        <f t="shared" si="19"/>
        <v>-</v>
      </c>
      <c r="AZ34" s="86" t="str">
        <f t="shared" si="20"/>
        <v>-</v>
      </c>
      <c r="BA34" s="86" t="str">
        <f t="shared" si="21"/>
        <v>-</v>
      </c>
      <c r="BB34" s="86" t="str">
        <f t="shared" si="22"/>
        <v>-</v>
      </c>
      <c r="BC34" s="86" t="str">
        <f t="shared" si="23"/>
        <v>-</v>
      </c>
      <c r="BD34" s="86" t="str">
        <f t="shared" si="24"/>
        <v>-</v>
      </c>
      <c r="BE34" s="86" t="str">
        <f t="shared" si="25"/>
        <v>-</v>
      </c>
      <c r="BF34" s="86" t="str">
        <f t="shared" si="26"/>
        <v>-</v>
      </c>
    </row>
    <row r="35" spans="1:58" x14ac:dyDescent="0.2">
      <c r="A35" s="80" t="s">
        <v>1144</v>
      </c>
      <c r="B35" s="92" t="s">
        <v>76</v>
      </c>
      <c r="C35" s="202">
        <v>7944963</v>
      </c>
      <c r="D35" s="203">
        <v>6</v>
      </c>
      <c r="E35" s="204" t="s">
        <v>1279</v>
      </c>
      <c r="F35" s="204" t="s">
        <v>1155</v>
      </c>
      <c r="G35" s="204" t="s">
        <v>1280</v>
      </c>
      <c r="H35" s="205" t="s">
        <v>663</v>
      </c>
      <c r="I35" s="205" t="s">
        <v>662</v>
      </c>
      <c r="J35" s="203">
        <v>60</v>
      </c>
      <c r="K35" s="204" t="s">
        <v>563</v>
      </c>
      <c r="L35" s="206" t="s">
        <v>497</v>
      </c>
      <c r="M35" s="210" t="s">
        <v>18</v>
      </c>
      <c r="N35" s="211">
        <v>45665</v>
      </c>
      <c r="O35" s="207">
        <v>11</v>
      </c>
      <c r="P35" s="203">
        <v>1</v>
      </c>
      <c r="Q35" s="205" t="s">
        <v>23</v>
      </c>
      <c r="R35" s="205" t="s">
        <v>11</v>
      </c>
      <c r="S35" s="205" t="s">
        <v>23</v>
      </c>
      <c r="T35" s="207">
        <v>11</v>
      </c>
      <c r="U35" s="208" t="s">
        <v>11</v>
      </c>
      <c r="V35" s="212" t="s">
        <v>11</v>
      </c>
      <c r="W35" s="212" t="s">
        <v>19</v>
      </c>
      <c r="X35" s="209">
        <v>1147874</v>
      </c>
      <c r="Y35" s="213" t="s">
        <v>735</v>
      </c>
      <c r="Z35" s="209">
        <v>11</v>
      </c>
      <c r="AA35" s="209">
        <v>1147874</v>
      </c>
      <c r="AB35" s="209">
        <v>1147874</v>
      </c>
      <c r="AC35" s="178" t="str">
        <f>IF(OR(M35="13",M35="14",P35=8),"",IF(AND(OR(S35="AUTORIZADO", S35="PENDIENTE", S35="REDUCIDO", S35="AMPLIADO"),L35&lt;&gt;"HONORARIO" ), CONCATENATE(IF(H35="X","H",H35),"_",IF(OR(P35=5,P35=6),_xlfn.CONCAT(P35,"A"),P35),"_",VLOOKUP(T35,Datos!$B$2:$C$5,2,TRUE)),""))</f>
        <v>H_1_[11 +]</v>
      </c>
      <c r="AD35" s="178">
        <f t="shared" si="0"/>
        <v>2295748</v>
      </c>
      <c r="AE35" s="82" t="str">
        <f t="shared" si="1"/>
        <v>-</v>
      </c>
      <c r="AF35" s="83" t="str">
        <f t="shared" si="2"/>
        <v>070601</v>
      </c>
      <c r="AG35" s="84"/>
      <c r="AH35" s="85" t="str">
        <f t="shared" si="3"/>
        <v>Corporación de Fomento de la Producción</v>
      </c>
      <c r="AI35" s="82" t="str">
        <f t="shared" si="4"/>
        <v>-</v>
      </c>
      <c r="AJ35" s="82">
        <f t="shared" si="5"/>
        <v>6</v>
      </c>
      <c r="AK35" s="82" t="str">
        <f t="shared" si="6"/>
        <v>-</v>
      </c>
      <c r="AL35" s="82" t="str">
        <f t="shared" si="7"/>
        <v>Identifica este registro como HOMBRE</v>
      </c>
      <c r="AM35" s="82" t="str">
        <f t="shared" si="8"/>
        <v>-</v>
      </c>
      <c r="AN35" s="82" t="str">
        <f t="shared" si="9"/>
        <v>-</v>
      </c>
      <c r="AO35" s="82" t="str">
        <f t="shared" si="10"/>
        <v>-</v>
      </c>
      <c r="AP35" s="57" t="str">
        <f t="shared" si="11"/>
        <v>-</v>
      </c>
      <c r="AQ35" s="86" t="str">
        <f t="shared" si="12"/>
        <v>-</v>
      </c>
      <c r="AR35" s="86" t="str">
        <f>IF(N35="","PRIMER_DIA en blanco",
IF(AND(M35="01",N35&gt;=L_Conversion!$C$118,N35&lt;=L_Conversion!$D$118),"-",
IF(AND(M35="02",N35&gt;=L_Conversion!$C$119,N35&lt;=L_Conversion!$D$119),"-",
IF(AND(M35="03",N35&gt;=L_Conversion!$C$120,N35&lt;=L_Conversion!$D$120),"-",
IF(AND(M35="04",N35&gt;=L_Conversion!$C$121,N35&lt;=L_Conversion!$D$121),"-",
IF(AND(M35="05",N35&gt;=L_Conversion!$C$122,N35&lt;=L_Conversion!$D$122),"-",
IF(AND(M35="06",N35&gt;=L_Conversion!$C$123,N35&lt;=L_Conversion!$D$123),"-",
IF(AND(M35="07",N35&gt;=L_Conversion!$C$124,N35&lt;=L_Conversion!$D$124),"-",
IF(AND(M35="08",N35&gt;=L_Conversion!$C$125,N35&lt;=L_Conversion!$D$125),"-",
IF(AND(M35="09",N35&gt;=L_Conversion!$C$126,N35&lt;=L_Conversion!$D$126),"-",
IF(AND(M35="10",N35&gt;=L_Conversion!$C$127,N35&lt;=L_Conversion!$D$127),"-",
IF(AND(M35="11",N35&gt;=L_Conversion!$C$128,N35&lt;=L_Conversion!$D$128),"-",
IF(AND(M35="12",N35&gt;=L_Conversion!$C$129,N35&lt;=L_Conversion!$D$129),"-",
IF(AND(M35="13",N35&gt;=L_Conversion!$C$116,N35&lt;=L_Conversion!$D$116),"-",
IF(AND(M35="14",N35&gt;=L_Conversion!$C$117,N35&lt;=L_Conversion!$D$117),"-",
"PRIMER_DIA fuera de rango")))))))))))))))</f>
        <v>-</v>
      </c>
      <c r="AS35" s="86" t="str">
        <f t="shared" si="13"/>
        <v>-</v>
      </c>
      <c r="AT35" s="86" t="str">
        <f t="shared" si="14"/>
        <v>-</v>
      </c>
      <c r="AU35" s="86" t="str">
        <f t="shared" si="15"/>
        <v>-</v>
      </c>
      <c r="AV35" s="86" t="str">
        <f t="shared" si="16"/>
        <v>-</v>
      </c>
      <c r="AW35" s="86" t="str">
        <f t="shared" si="17"/>
        <v>-</v>
      </c>
      <c r="AX35" s="86" t="str">
        <f t="shared" si="18"/>
        <v>-</v>
      </c>
      <c r="AY35" s="86" t="str">
        <f t="shared" si="19"/>
        <v>-</v>
      </c>
      <c r="AZ35" s="86" t="str">
        <f t="shared" si="20"/>
        <v>-</v>
      </c>
      <c r="BA35" s="86" t="str">
        <f t="shared" si="21"/>
        <v>-</v>
      </c>
      <c r="BB35" s="86" t="str">
        <f t="shared" si="22"/>
        <v>-</v>
      </c>
      <c r="BC35" s="86" t="str">
        <f t="shared" si="23"/>
        <v>-</v>
      </c>
      <c r="BD35" s="86" t="str">
        <f t="shared" si="24"/>
        <v>-</v>
      </c>
      <c r="BE35" s="86" t="str">
        <f t="shared" si="25"/>
        <v>-</v>
      </c>
      <c r="BF35" s="86" t="str">
        <f t="shared" si="26"/>
        <v>-</v>
      </c>
    </row>
    <row r="36" spans="1:58" x14ac:dyDescent="0.2">
      <c r="A36" s="80" t="s">
        <v>1144</v>
      </c>
      <c r="B36" s="92" t="s">
        <v>76</v>
      </c>
      <c r="C36" s="202">
        <v>10631849</v>
      </c>
      <c r="D36" s="203">
        <v>2</v>
      </c>
      <c r="E36" s="204" t="s">
        <v>1158</v>
      </c>
      <c r="F36" s="204" t="s">
        <v>1199</v>
      </c>
      <c r="G36" s="204" t="s">
        <v>1281</v>
      </c>
      <c r="H36" s="205" t="s">
        <v>663</v>
      </c>
      <c r="I36" s="205" t="s">
        <v>662</v>
      </c>
      <c r="J36" s="203">
        <v>80</v>
      </c>
      <c r="K36" s="204" t="s">
        <v>563</v>
      </c>
      <c r="L36" s="206" t="s">
        <v>502</v>
      </c>
      <c r="M36" s="210" t="s">
        <v>18</v>
      </c>
      <c r="N36" s="211">
        <v>45666</v>
      </c>
      <c r="O36" s="207">
        <v>2</v>
      </c>
      <c r="P36" s="203">
        <v>1</v>
      </c>
      <c r="Q36" s="205" t="s">
        <v>23</v>
      </c>
      <c r="R36" s="205" t="s">
        <v>11</v>
      </c>
      <c r="S36" s="205" t="s">
        <v>23</v>
      </c>
      <c r="T36" s="207">
        <v>2</v>
      </c>
      <c r="U36" s="208" t="s">
        <v>11</v>
      </c>
      <c r="V36" s="212" t="s">
        <v>19</v>
      </c>
      <c r="W36" s="212" t="s">
        <v>19</v>
      </c>
      <c r="X36" s="209">
        <v>44594</v>
      </c>
      <c r="Y36" s="213" t="s">
        <v>735</v>
      </c>
      <c r="Z36" s="209">
        <v>2</v>
      </c>
      <c r="AA36" s="209">
        <v>44594</v>
      </c>
      <c r="AB36" s="209">
        <v>44594</v>
      </c>
      <c r="AC36" s="178" t="str">
        <f>IF(OR(M36="13",M36="14",P36=8),"",IF(AND(OR(S36="AUTORIZADO", S36="PENDIENTE", S36="REDUCIDO", S36="AMPLIADO"),L36&lt;&gt;"HONORARIO" ), CONCATENATE(IF(H36="X","H",H36),"_",IF(OR(P36=5,P36=6),_xlfn.CONCAT(P36,"A"),P36),"_",VLOOKUP(T36,Datos!$B$2:$C$5,2,TRUE)),""))</f>
        <v>H_1_[hasta 3]</v>
      </c>
      <c r="AD36" s="178">
        <f t="shared" si="0"/>
        <v>89188</v>
      </c>
      <c r="AE36" s="82" t="str">
        <f t="shared" si="1"/>
        <v>-</v>
      </c>
      <c r="AF36" s="83" t="str">
        <f t="shared" si="2"/>
        <v>070601</v>
      </c>
      <c r="AG36" s="84"/>
      <c r="AH36" s="85" t="str">
        <f t="shared" si="3"/>
        <v>Corporación de Fomento de la Producción</v>
      </c>
      <c r="AI36" s="82" t="str">
        <f t="shared" si="4"/>
        <v>-</v>
      </c>
      <c r="AJ36" s="82">
        <f t="shared" si="5"/>
        <v>2</v>
      </c>
      <c r="AK36" s="82" t="str">
        <f t="shared" si="6"/>
        <v>-</v>
      </c>
      <c r="AL36" s="82" t="str">
        <f t="shared" si="7"/>
        <v>Identifica este registro como HOMBRE</v>
      </c>
      <c r="AM36" s="82" t="str">
        <f t="shared" si="8"/>
        <v>-</v>
      </c>
      <c r="AN36" s="82" t="str">
        <f t="shared" si="9"/>
        <v>-</v>
      </c>
      <c r="AO36" s="82" t="str">
        <f t="shared" si="10"/>
        <v>-</v>
      </c>
      <c r="AP36" s="57" t="str">
        <f t="shared" si="11"/>
        <v>-</v>
      </c>
      <c r="AQ36" s="86" t="str">
        <f t="shared" si="12"/>
        <v>-</v>
      </c>
      <c r="AR36" s="86" t="str">
        <f>IF(N36="","PRIMER_DIA en blanco",
IF(AND(M36="01",N36&gt;=L_Conversion!$C$118,N36&lt;=L_Conversion!$D$118),"-",
IF(AND(M36="02",N36&gt;=L_Conversion!$C$119,N36&lt;=L_Conversion!$D$119),"-",
IF(AND(M36="03",N36&gt;=L_Conversion!$C$120,N36&lt;=L_Conversion!$D$120),"-",
IF(AND(M36="04",N36&gt;=L_Conversion!$C$121,N36&lt;=L_Conversion!$D$121),"-",
IF(AND(M36="05",N36&gt;=L_Conversion!$C$122,N36&lt;=L_Conversion!$D$122),"-",
IF(AND(M36="06",N36&gt;=L_Conversion!$C$123,N36&lt;=L_Conversion!$D$123),"-",
IF(AND(M36="07",N36&gt;=L_Conversion!$C$124,N36&lt;=L_Conversion!$D$124),"-",
IF(AND(M36="08",N36&gt;=L_Conversion!$C$125,N36&lt;=L_Conversion!$D$125),"-",
IF(AND(M36="09",N36&gt;=L_Conversion!$C$126,N36&lt;=L_Conversion!$D$126),"-",
IF(AND(M36="10",N36&gt;=L_Conversion!$C$127,N36&lt;=L_Conversion!$D$127),"-",
IF(AND(M36="11",N36&gt;=L_Conversion!$C$128,N36&lt;=L_Conversion!$D$128),"-",
IF(AND(M36="12",N36&gt;=L_Conversion!$C$129,N36&lt;=L_Conversion!$D$129),"-",
IF(AND(M36="13",N36&gt;=L_Conversion!$C$116,N36&lt;=L_Conversion!$D$116),"-",
IF(AND(M36="14",N36&gt;=L_Conversion!$C$117,N36&lt;=L_Conversion!$D$117),"-",
"PRIMER_DIA fuera de rango")))))))))))))))</f>
        <v>-</v>
      </c>
      <c r="AS36" s="86" t="str">
        <f t="shared" si="13"/>
        <v>-</v>
      </c>
      <c r="AT36" s="86" t="str">
        <f t="shared" si="14"/>
        <v>-</v>
      </c>
      <c r="AU36" s="86" t="str">
        <f t="shared" si="15"/>
        <v>-</v>
      </c>
      <c r="AV36" s="86" t="str">
        <f t="shared" si="16"/>
        <v>-</v>
      </c>
      <c r="AW36" s="86" t="str">
        <f t="shared" si="17"/>
        <v>-</v>
      </c>
      <c r="AX36" s="86" t="str">
        <f t="shared" si="18"/>
        <v>-</v>
      </c>
      <c r="AY36" s="86" t="str">
        <f t="shared" si="19"/>
        <v>-</v>
      </c>
      <c r="AZ36" s="86" t="str">
        <f t="shared" si="20"/>
        <v>-</v>
      </c>
      <c r="BA36" s="86" t="str">
        <f t="shared" si="21"/>
        <v>-</v>
      </c>
      <c r="BB36" s="86" t="str">
        <f t="shared" si="22"/>
        <v>-</v>
      </c>
      <c r="BC36" s="86" t="str">
        <f t="shared" si="23"/>
        <v>-</v>
      </c>
      <c r="BD36" s="86" t="str">
        <f t="shared" si="24"/>
        <v>-</v>
      </c>
      <c r="BE36" s="86" t="str">
        <f t="shared" si="25"/>
        <v>-</v>
      </c>
      <c r="BF36" s="86" t="str">
        <f t="shared" si="26"/>
        <v>-</v>
      </c>
    </row>
    <row r="37" spans="1:58" x14ac:dyDescent="0.2">
      <c r="A37" s="80" t="s">
        <v>1144</v>
      </c>
      <c r="B37" s="92" t="s">
        <v>76</v>
      </c>
      <c r="C37" s="202">
        <v>16871109</v>
      </c>
      <c r="D37" s="203">
        <v>3</v>
      </c>
      <c r="E37" s="204" t="s">
        <v>1213</v>
      </c>
      <c r="F37" s="204" t="s">
        <v>1150</v>
      </c>
      <c r="G37" s="204" t="s">
        <v>1214</v>
      </c>
      <c r="H37" s="205" t="s">
        <v>1033</v>
      </c>
      <c r="I37" s="205" t="s">
        <v>662</v>
      </c>
      <c r="J37" s="203">
        <v>80</v>
      </c>
      <c r="K37" s="204" t="s">
        <v>563</v>
      </c>
      <c r="L37" s="206" t="s">
        <v>502</v>
      </c>
      <c r="M37" s="210" t="s">
        <v>18</v>
      </c>
      <c r="N37" s="211">
        <v>45666</v>
      </c>
      <c r="O37" s="207">
        <v>7</v>
      </c>
      <c r="P37" s="203">
        <v>4</v>
      </c>
      <c r="Q37" s="205" t="s">
        <v>23</v>
      </c>
      <c r="R37" s="205" t="s">
        <v>11</v>
      </c>
      <c r="S37" s="205" t="s">
        <v>23</v>
      </c>
      <c r="T37" s="207">
        <v>7</v>
      </c>
      <c r="U37" s="208" t="s">
        <v>11</v>
      </c>
      <c r="V37" s="212" t="s">
        <v>11</v>
      </c>
      <c r="W37" s="212" t="s">
        <v>19</v>
      </c>
      <c r="X37" s="209">
        <v>1516</v>
      </c>
      <c r="Y37" s="213" t="s">
        <v>735</v>
      </c>
      <c r="Z37" s="209">
        <v>7</v>
      </c>
      <c r="AA37" s="209">
        <v>1516</v>
      </c>
      <c r="AB37" s="209">
        <v>1516</v>
      </c>
      <c r="AC37" s="178" t="str">
        <f>IF(OR(M37="13",M37="14",P37=8),"",IF(AND(OR(S37="AUTORIZADO", S37="PENDIENTE", S37="REDUCIDO", S37="AMPLIADO"),L37&lt;&gt;"HONORARIO" ), CONCATENATE(IF(H37="X","H",H37),"_",IF(OR(P37=5,P37=6),_xlfn.CONCAT(P37,"A"),P37),"_",VLOOKUP(T37,Datos!$B$2:$C$5,2,TRUE)),""))</f>
        <v>M_4_[4 a 10]</v>
      </c>
      <c r="AD37" s="178">
        <f t="shared" si="0"/>
        <v>3032</v>
      </c>
      <c r="AE37" s="82" t="str">
        <f t="shared" si="1"/>
        <v>-</v>
      </c>
      <c r="AF37" s="83" t="str">
        <f t="shared" si="2"/>
        <v>070601</v>
      </c>
      <c r="AG37" s="84"/>
      <c r="AH37" s="85" t="str">
        <f t="shared" si="3"/>
        <v>Corporación de Fomento de la Producción</v>
      </c>
      <c r="AI37" s="82" t="str">
        <f t="shared" si="4"/>
        <v>-</v>
      </c>
      <c r="AJ37" s="82">
        <f t="shared" si="5"/>
        <v>3</v>
      </c>
      <c r="AK37" s="82" t="str">
        <f t="shared" si="6"/>
        <v>-</v>
      </c>
      <c r="AL37" s="82" t="str">
        <f t="shared" si="7"/>
        <v>Identifica este registro como MUJER</v>
      </c>
      <c r="AM37" s="82" t="str">
        <f t="shared" si="8"/>
        <v>-</v>
      </c>
      <c r="AN37" s="82" t="str">
        <f t="shared" si="9"/>
        <v>-</v>
      </c>
      <c r="AO37" s="82" t="str">
        <f t="shared" si="10"/>
        <v>-</v>
      </c>
      <c r="AP37" s="57" t="str">
        <f t="shared" si="11"/>
        <v>-</v>
      </c>
      <c r="AQ37" s="86" t="str">
        <f t="shared" si="12"/>
        <v>-</v>
      </c>
      <c r="AR37" s="86" t="str">
        <f>IF(N37="","PRIMER_DIA en blanco",
IF(AND(M37="01",N37&gt;=L_Conversion!$C$118,N37&lt;=L_Conversion!$D$118),"-",
IF(AND(M37="02",N37&gt;=L_Conversion!$C$119,N37&lt;=L_Conversion!$D$119),"-",
IF(AND(M37="03",N37&gt;=L_Conversion!$C$120,N37&lt;=L_Conversion!$D$120),"-",
IF(AND(M37="04",N37&gt;=L_Conversion!$C$121,N37&lt;=L_Conversion!$D$121),"-",
IF(AND(M37="05",N37&gt;=L_Conversion!$C$122,N37&lt;=L_Conversion!$D$122),"-",
IF(AND(M37="06",N37&gt;=L_Conversion!$C$123,N37&lt;=L_Conversion!$D$123),"-",
IF(AND(M37="07",N37&gt;=L_Conversion!$C$124,N37&lt;=L_Conversion!$D$124),"-",
IF(AND(M37="08",N37&gt;=L_Conversion!$C$125,N37&lt;=L_Conversion!$D$125),"-",
IF(AND(M37="09",N37&gt;=L_Conversion!$C$126,N37&lt;=L_Conversion!$D$126),"-",
IF(AND(M37="10",N37&gt;=L_Conversion!$C$127,N37&lt;=L_Conversion!$D$127),"-",
IF(AND(M37="11",N37&gt;=L_Conversion!$C$128,N37&lt;=L_Conversion!$D$128),"-",
IF(AND(M37="12",N37&gt;=L_Conversion!$C$129,N37&lt;=L_Conversion!$D$129),"-",
IF(AND(M37="13",N37&gt;=L_Conversion!$C$116,N37&lt;=L_Conversion!$D$116),"-",
IF(AND(M37="14",N37&gt;=L_Conversion!$C$117,N37&lt;=L_Conversion!$D$117),"-",
"PRIMER_DIA fuera de rango")))))))))))))))</f>
        <v>-</v>
      </c>
      <c r="AS37" s="86" t="str">
        <f t="shared" si="13"/>
        <v>-</v>
      </c>
      <c r="AT37" s="86" t="str">
        <f t="shared" si="14"/>
        <v>-</v>
      </c>
      <c r="AU37" s="86" t="str">
        <f t="shared" si="15"/>
        <v>-</v>
      </c>
      <c r="AV37" s="86" t="str">
        <f t="shared" si="16"/>
        <v>-</v>
      </c>
      <c r="AW37" s="86" t="str">
        <f t="shared" si="17"/>
        <v>-</v>
      </c>
      <c r="AX37" s="86" t="str">
        <f t="shared" si="18"/>
        <v>-</v>
      </c>
      <c r="AY37" s="86" t="str">
        <f t="shared" si="19"/>
        <v>-</v>
      </c>
      <c r="AZ37" s="86" t="str">
        <f t="shared" si="20"/>
        <v>-</v>
      </c>
      <c r="BA37" s="86" t="str">
        <f t="shared" si="21"/>
        <v>-</v>
      </c>
      <c r="BB37" s="86" t="str">
        <f t="shared" si="22"/>
        <v>-</v>
      </c>
      <c r="BC37" s="86" t="str">
        <f t="shared" si="23"/>
        <v>-</v>
      </c>
      <c r="BD37" s="86" t="str">
        <f t="shared" si="24"/>
        <v>-</v>
      </c>
      <c r="BE37" s="86" t="str">
        <f t="shared" si="25"/>
        <v>-</v>
      </c>
      <c r="BF37" s="86" t="str">
        <f t="shared" si="26"/>
        <v>-</v>
      </c>
    </row>
    <row r="38" spans="1:58" x14ac:dyDescent="0.2">
      <c r="A38" s="80" t="s">
        <v>1144</v>
      </c>
      <c r="B38" s="92" t="s">
        <v>76</v>
      </c>
      <c r="C38" s="202">
        <v>17699624</v>
      </c>
      <c r="D38" s="203">
        <v>2</v>
      </c>
      <c r="E38" s="204" t="s">
        <v>1282</v>
      </c>
      <c r="F38" s="204" t="s">
        <v>1283</v>
      </c>
      <c r="G38" s="204" t="s">
        <v>1284</v>
      </c>
      <c r="H38" s="205" t="s">
        <v>1033</v>
      </c>
      <c r="I38" s="205" t="s">
        <v>662</v>
      </c>
      <c r="J38" s="203">
        <v>80</v>
      </c>
      <c r="K38" s="204" t="s">
        <v>563</v>
      </c>
      <c r="L38" s="206" t="s">
        <v>502</v>
      </c>
      <c r="M38" s="210" t="s">
        <v>18</v>
      </c>
      <c r="N38" s="211">
        <v>45666</v>
      </c>
      <c r="O38" s="207">
        <v>2</v>
      </c>
      <c r="P38" s="203">
        <v>1</v>
      </c>
      <c r="Q38" s="205" t="s">
        <v>23</v>
      </c>
      <c r="R38" s="205" t="s">
        <v>11</v>
      </c>
      <c r="S38" s="205" t="s">
        <v>23</v>
      </c>
      <c r="T38" s="207">
        <v>2</v>
      </c>
      <c r="U38" s="208" t="s">
        <v>11</v>
      </c>
      <c r="V38" s="212" t="s">
        <v>19</v>
      </c>
      <c r="W38" s="212" t="s">
        <v>19</v>
      </c>
      <c r="X38" s="209">
        <v>27632</v>
      </c>
      <c r="Y38" s="213" t="s">
        <v>735</v>
      </c>
      <c r="Z38" s="209">
        <v>2</v>
      </c>
      <c r="AA38" s="209">
        <v>27632</v>
      </c>
      <c r="AB38" s="209">
        <v>27632</v>
      </c>
      <c r="AC38" s="178" t="str">
        <f>IF(OR(M38="13",M38="14",P38=8),"",IF(AND(OR(S38="AUTORIZADO", S38="PENDIENTE", S38="REDUCIDO", S38="AMPLIADO"),L38&lt;&gt;"HONORARIO" ), CONCATENATE(IF(H38="X","H",H38),"_",IF(OR(P38=5,P38=6),_xlfn.CONCAT(P38,"A"),P38),"_",VLOOKUP(T38,Datos!$B$2:$C$5,2,TRUE)),""))</f>
        <v>M_1_[hasta 3]</v>
      </c>
      <c r="AD38" s="178">
        <f t="shared" si="0"/>
        <v>55264</v>
      </c>
      <c r="AE38" s="82" t="str">
        <f t="shared" si="1"/>
        <v>-</v>
      </c>
      <c r="AF38" s="83" t="str">
        <f t="shared" si="2"/>
        <v>070601</v>
      </c>
      <c r="AG38" s="84"/>
      <c r="AH38" s="85" t="str">
        <f t="shared" si="3"/>
        <v>Corporación de Fomento de la Producción</v>
      </c>
      <c r="AI38" s="82" t="str">
        <f t="shared" si="4"/>
        <v>-</v>
      </c>
      <c r="AJ38" s="82">
        <f t="shared" si="5"/>
        <v>2</v>
      </c>
      <c r="AK38" s="82" t="str">
        <f t="shared" si="6"/>
        <v>-</v>
      </c>
      <c r="AL38" s="82" t="str">
        <f t="shared" si="7"/>
        <v>Identifica este registro como MUJER</v>
      </c>
      <c r="AM38" s="82" t="str">
        <f t="shared" si="8"/>
        <v>-</v>
      </c>
      <c r="AN38" s="82" t="str">
        <f t="shared" si="9"/>
        <v>-</v>
      </c>
      <c r="AO38" s="82" t="str">
        <f t="shared" si="10"/>
        <v>-</v>
      </c>
      <c r="AP38" s="57" t="str">
        <f t="shared" si="11"/>
        <v>-</v>
      </c>
      <c r="AQ38" s="86" t="str">
        <f t="shared" si="12"/>
        <v>-</v>
      </c>
      <c r="AR38" s="86" t="str">
        <f>IF(N38="","PRIMER_DIA en blanco",
IF(AND(M38="01",N38&gt;=L_Conversion!$C$118,N38&lt;=L_Conversion!$D$118),"-",
IF(AND(M38="02",N38&gt;=L_Conversion!$C$119,N38&lt;=L_Conversion!$D$119),"-",
IF(AND(M38="03",N38&gt;=L_Conversion!$C$120,N38&lt;=L_Conversion!$D$120),"-",
IF(AND(M38="04",N38&gt;=L_Conversion!$C$121,N38&lt;=L_Conversion!$D$121),"-",
IF(AND(M38="05",N38&gt;=L_Conversion!$C$122,N38&lt;=L_Conversion!$D$122),"-",
IF(AND(M38="06",N38&gt;=L_Conversion!$C$123,N38&lt;=L_Conversion!$D$123),"-",
IF(AND(M38="07",N38&gt;=L_Conversion!$C$124,N38&lt;=L_Conversion!$D$124),"-",
IF(AND(M38="08",N38&gt;=L_Conversion!$C$125,N38&lt;=L_Conversion!$D$125),"-",
IF(AND(M38="09",N38&gt;=L_Conversion!$C$126,N38&lt;=L_Conversion!$D$126),"-",
IF(AND(M38="10",N38&gt;=L_Conversion!$C$127,N38&lt;=L_Conversion!$D$127),"-",
IF(AND(M38="11",N38&gt;=L_Conversion!$C$128,N38&lt;=L_Conversion!$D$128),"-",
IF(AND(M38="12",N38&gt;=L_Conversion!$C$129,N38&lt;=L_Conversion!$D$129),"-",
IF(AND(M38="13",N38&gt;=L_Conversion!$C$116,N38&lt;=L_Conversion!$D$116),"-",
IF(AND(M38="14",N38&gt;=L_Conversion!$C$117,N38&lt;=L_Conversion!$D$117),"-",
"PRIMER_DIA fuera de rango")))))))))))))))</f>
        <v>-</v>
      </c>
      <c r="AS38" s="86" t="str">
        <f t="shared" si="13"/>
        <v>-</v>
      </c>
      <c r="AT38" s="86" t="str">
        <f t="shared" si="14"/>
        <v>-</v>
      </c>
      <c r="AU38" s="86" t="str">
        <f t="shared" si="15"/>
        <v>-</v>
      </c>
      <c r="AV38" s="86" t="str">
        <f t="shared" si="16"/>
        <v>-</v>
      </c>
      <c r="AW38" s="86" t="str">
        <f t="shared" si="17"/>
        <v>-</v>
      </c>
      <c r="AX38" s="86" t="str">
        <f t="shared" si="18"/>
        <v>-</v>
      </c>
      <c r="AY38" s="86" t="str">
        <f t="shared" si="19"/>
        <v>-</v>
      </c>
      <c r="AZ38" s="86" t="str">
        <f t="shared" si="20"/>
        <v>-</v>
      </c>
      <c r="BA38" s="86" t="str">
        <f t="shared" si="21"/>
        <v>-</v>
      </c>
      <c r="BB38" s="86" t="str">
        <f t="shared" si="22"/>
        <v>-</v>
      </c>
      <c r="BC38" s="86" t="str">
        <f t="shared" si="23"/>
        <v>-</v>
      </c>
      <c r="BD38" s="86" t="str">
        <f t="shared" si="24"/>
        <v>-</v>
      </c>
      <c r="BE38" s="86" t="str">
        <f t="shared" si="25"/>
        <v>-</v>
      </c>
      <c r="BF38" s="86" t="str">
        <f t="shared" si="26"/>
        <v>-</v>
      </c>
    </row>
    <row r="39" spans="1:58" x14ac:dyDescent="0.2">
      <c r="A39" s="80" t="s">
        <v>1144</v>
      </c>
      <c r="B39" s="92" t="s">
        <v>1220</v>
      </c>
      <c r="C39" s="202">
        <v>16660288</v>
      </c>
      <c r="D39" s="203">
        <v>2</v>
      </c>
      <c r="E39" s="204" t="s">
        <v>1169</v>
      </c>
      <c r="F39" s="204" t="s">
        <v>1285</v>
      </c>
      <c r="G39" s="204" t="s">
        <v>1286</v>
      </c>
      <c r="H39" s="205" t="s">
        <v>1033</v>
      </c>
      <c r="I39" s="205" t="s">
        <v>663</v>
      </c>
      <c r="J39" s="203">
        <v>80</v>
      </c>
      <c r="K39" s="204" t="s">
        <v>563</v>
      </c>
      <c r="L39" s="206" t="s">
        <v>516</v>
      </c>
      <c r="M39" s="210" t="s">
        <v>18</v>
      </c>
      <c r="N39" s="211">
        <v>45666</v>
      </c>
      <c r="O39" s="207">
        <v>14</v>
      </c>
      <c r="P39" s="203">
        <v>1</v>
      </c>
      <c r="Q39" s="205" t="s">
        <v>23</v>
      </c>
      <c r="R39" s="205" t="s">
        <v>11</v>
      </c>
      <c r="S39" s="205" t="s">
        <v>23</v>
      </c>
      <c r="T39" s="207">
        <v>14</v>
      </c>
      <c r="U39" s="208" t="s">
        <v>11</v>
      </c>
      <c r="V39" s="212" t="s">
        <v>11</v>
      </c>
      <c r="W39" s="212" t="s">
        <v>19</v>
      </c>
      <c r="X39" s="209">
        <v>1475975</v>
      </c>
      <c r="Y39" s="213" t="s">
        <v>735</v>
      </c>
      <c r="Z39" s="209">
        <v>14</v>
      </c>
      <c r="AA39" s="209">
        <v>1475975</v>
      </c>
      <c r="AB39" s="209">
        <v>1475975</v>
      </c>
      <c r="AC39" s="178" t="str">
        <f>IF(OR(M39="13",M39="14",P39=8),"",IF(AND(OR(S39="AUTORIZADO", S39="PENDIENTE", S39="REDUCIDO", S39="AMPLIADO"),L39&lt;&gt;"HONORARIO" ), CONCATENATE(IF(H39="X","H",H39),"_",IF(OR(P39=5,P39=6),_xlfn.CONCAT(P39,"A"),P39),"_",VLOOKUP(T39,Datos!$B$2:$C$5,2,TRUE)),""))</f>
        <v>M_1_[11 +]</v>
      </c>
      <c r="AD39" s="178">
        <f t="shared" si="0"/>
        <v>2951950</v>
      </c>
      <c r="AE39" s="82" t="str">
        <f t="shared" si="1"/>
        <v>-</v>
      </c>
      <c r="AF39" s="83" t="str">
        <f t="shared" si="2"/>
        <v>Revisar</v>
      </c>
      <c r="AG39" s="84"/>
      <c r="AH39" s="85" t="str">
        <f t="shared" si="3"/>
        <v>Corregir código servicio</v>
      </c>
      <c r="AI39" s="82" t="str">
        <f t="shared" si="4"/>
        <v>-</v>
      </c>
      <c r="AJ39" s="82">
        <f t="shared" si="5"/>
        <v>2</v>
      </c>
      <c r="AK39" s="82" t="str">
        <f t="shared" si="6"/>
        <v>-</v>
      </c>
      <c r="AL39" s="82" t="str">
        <f t="shared" si="7"/>
        <v>Identifica este registro como MUJER</v>
      </c>
      <c r="AM39" s="82" t="str">
        <f t="shared" si="8"/>
        <v>-</v>
      </c>
      <c r="AN39" s="82" t="str">
        <f t="shared" si="9"/>
        <v>-</v>
      </c>
      <c r="AO39" s="82" t="str">
        <f t="shared" si="10"/>
        <v>-</v>
      </c>
      <c r="AP39" s="57" t="str">
        <f t="shared" si="11"/>
        <v>-</v>
      </c>
      <c r="AQ39" s="86" t="str">
        <f t="shared" si="12"/>
        <v>-</v>
      </c>
      <c r="AR39" s="86" t="str">
        <f>IF(N39="","PRIMER_DIA en blanco",
IF(AND(M39="01",N39&gt;=L_Conversion!$C$118,N39&lt;=L_Conversion!$D$118),"-",
IF(AND(M39="02",N39&gt;=L_Conversion!$C$119,N39&lt;=L_Conversion!$D$119),"-",
IF(AND(M39="03",N39&gt;=L_Conversion!$C$120,N39&lt;=L_Conversion!$D$120),"-",
IF(AND(M39="04",N39&gt;=L_Conversion!$C$121,N39&lt;=L_Conversion!$D$121),"-",
IF(AND(M39="05",N39&gt;=L_Conversion!$C$122,N39&lt;=L_Conversion!$D$122),"-",
IF(AND(M39="06",N39&gt;=L_Conversion!$C$123,N39&lt;=L_Conversion!$D$123),"-",
IF(AND(M39="07",N39&gt;=L_Conversion!$C$124,N39&lt;=L_Conversion!$D$124),"-",
IF(AND(M39="08",N39&gt;=L_Conversion!$C$125,N39&lt;=L_Conversion!$D$125),"-",
IF(AND(M39="09",N39&gt;=L_Conversion!$C$126,N39&lt;=L_Conversion!$D$126),"-",
IF(AND(M39="10",N39&gt;=L_Conversion!$C$127,N39&lt;=L_Conversion!$D$127),"-",
IF(AND(M39="11",N39&gt;=L_Conversion!$C$128,N39&lt;=L_Conversion!$D$128),"-",
IF(AND(M39="12",N39&gt;=L_Conversion!$C$129,N39&lt;=L_Conversion!$D$129),"-",
IF(AND(M39="13",N39&gt;=L_Conversion!$C$116,N39&lt;=L_Conversion!$D$116),"-",
IF(AND(M39="14",N39&gt;=L_Conversion!$C$117,N39&lt;=L_Conversion!$D$117),"-",
"PRIMER_DIA fuera de rango")))))))))))))))</f>
        <v>-</v>
      </c>
      <c r="AS39" s="86" t="str">
        <f t="shared" si="13"/>
        <v>-</v>
      </c>
      <c r="AT39" s="86" t="str">
        <f t="shared" si="14"/>
        <v>-</v>
      </c>
      <c r="AU39" s="86" t="str">
        <f t="shared" si="15"/>
        <v>-</v>
      </c>
      <c r="AV39" s="86" t="str">
        <f t="shared" si="16"/>
        <v>-</v>
      </c>
      <c r="AW39" s="86" t="str">
        <f t="shared" si="17"/>
        <v>-</v>
      </c>
      <c r="AX39" s="86" t="str">
        <f t="shared" si="18"/>
        <v>-</v>
      </c>
      <c r="AY39" s="86" t="str">
        <f t="shared" si="19"/>
        <v>-</v>
      </c>
      <c r="AZ39" s="86" t="str">
        <f t="shared" si="20"/>
        <v>-</v>
      </c>
      <c r="BA39" s="86" t="str">
        <f t="shared" si="21"/>
        <v>-</v>
      </c>
      <c r="BB39" s="86" t="str">
        <f t="shared" si="22"/>
        <v>-</v>
      </c>
      <c r="BC39" s="86" t="str">
        <f t="shared" si="23"/>
        <v>-</v>
      </c>
      <c r="BD39" s="86" t="str">
        <f t="shared" si="24"/>
        <v>-</v>
      </c>
      <c r="BE39" s="86" t="str">
        <f t="shared" si="25"/>
        <v>-</v>
      </c>
      <c r="BF39" s="86" t="str">
        <f t="shared" si="26"/>
        <v>-</v>
      </c>
    </row>
    <row r="40" spans="1:58" x14ac:dyDescent="0.2">
      <c r="A40" s="80" t="s">
        <v>1144</v>
      </c>
      <c r="B40" s="92" t="s">
        <v>76</v>
      </c>
      <c r="C40" s="202">
        <v>9071519</v>
      </c>
      <c r="D40" s="203">
        <v>4</v>
      </c>
      <c r="E40" s="204" t="s">
        <v>1157</v>
      </c>
      <c r="F40" s="204" t="s">
        <v>1287</v>
      </c>
      <c r="G40" s="204" t="s">
        <v>1288</v>
      </c>
      <c r="H40" s="205" t="s">
        <v>663</v>
      </c>
      <c r="I40" s="205" t="s">
        <v>662</v>
      </c>
      <c r="J40" s="203">
        <v>80</v>
      </c>
      <c r="K40" s="204" t="s">
        <v>563</v>
      </c>
      <c r="L40" s="206" t="s">
        <v>502</v>
      </c>
      <c r="M40" s="210" t="s">
        <v>18</v>
      </c>
      <c r="N40" s="211">
        <v>45667</v>
      </c>
      <c r="O40" s="207">
        <v>30</v>
      </c>
      <c r="P40" s="203">
        <v>1</v>
      </c>
      <c r="Q40" s="205" t="s">
        <v>23</v>
      </c>
      <c r="R40" s="205" t="s">
        <v>11</v>
      </c>
      <c r="S40" s="205" t="s">
        <v>23</v>
      </c>
      <c r="T40" s="207">
        <v>30</v>
      </c>
      <c r="U40" s="208" t="s">
        <v>11</v>
      </c>
      <c r="V40" s="212" t="s">
        <v>11</v>
      </c>
      <c r="W40" s="212" t="s">
        <v>19</v>
      </c>
      <c r="X40" s="209">
        <v>1652924</v>
      </c>
      <c r="Y40" s="213" t="s">
        <v>735</v>
      </c>
      <c r="Z40" s="209">
        <v>30</v>
      </c>
      <c r="AA40" s="209">
        <v>1652924</v>
      </c>
      <c r="AB40" s="209">
        <v>1652924</v>
      </c>
      <c r="AC40" s="178" t="str">
        <f>IF(OR(M40="13",M40="14",P40=8),"",IF(AND(OR(S40="AUTORIZADO", S40="PENDIENTE", S40="REDUCIDO", S40="AMPLIADO"),L40&lt;&gt;"HONORARIO" ), CONCATENATE(IF(H40="X","H",H40),"_",IF(OR(P40=5,P40=6),_xlfn.CONCAT(P40,"A"),P40),"_",VLOOKUP(T40,Datos!$B$2:$C$5,2,TRUE)),""))</f>
        <v>H_1_[11 +]</v>
      </c>
      <c r="AD40" s="178">
        <f t="shared" si="0"/>
        <v>3305848</v>
      </c>
      <c r="AE40" s="82" t="str">
        <f t="shared" si="1"/>
        <v>-</v>
      </c>
      <c r="AF40" s="83" t="str">
        <f t="shared" si="2"/>
        <v>070601</v>
      </c>
      <c r="AG40" s="84"/>
      <c r="AH40" s="85" t="str">
        <f t="shared" si="3"/>
        <v>Corporación de Fomento de la Producción</v>
      </c>
      <c r="AI40" s="82" t="str">
        <f t="shared" si="4"/>
        <v>-</v>
      </c>
      <c r="AJ40" s="82">
        <f t="shared" si="5"/>
        <v>4</v>
      </c>
      <c r="AK40" s="82" t="str">
        <f t="shared" si="6"/>
        <v>-</v>
      </c>
      <c r="AL40" s="82" t="str">
        <f t="shared" si="7"/>
        <v>Identifica este registro como HOMBRE</v>
      </c>
      <c r="AM40" s="82" t="str">
        <f t="shared" si="8"/>
        <v>-</v>
      </c>
      <c r="AN40" s="82" t="str">
        <f t="shared" si="9"/>
        <v>-</v>
      </c>
      <c r="AO40" s="82" t="str">
        <f t="shared" si="10"/>
        <v>-</v>
      </c>
      <c r="AP40" s="57" t="str">
        <f t="shared" si="11"/>
        <v>-</v>
      </c>
      <c r="AQ40" s="86" t="str">
        <f t="shared" si="12"/>
        <v>-</v>
      </c>
      <c r="AR40" s="86" t="str">
        <f>IF(N40="","PRIMER_DIA en blanco",
IF(AND(M40="01",N40&gt;=L_Conversion!$C$118,N40&lt;=L_Conversion!$D$118),"-",
IF(AND(M40="02",N40&gt;=L_Conversion!$C$119,N40&lt;=L_Conversion!$D$119),"-",
IF(AND(M40="03",N40&gt;=L_Conversion!$C$120,N40&lt;=L_Conversion!$D$120),"-",
IF(AND(M40="04",N40&gt;=L_Conversion!$C$121,N40&lt;=L_Conversion!$D$121),"-",
IF(AND(M40="05",N40&gt;=L_Conversion!$C$122,N40&lt;=L_Conversion!$D$122),"-",
IF(AND(M40="06",N40&gt;=L_Conversion!$C$123,N40&lt;=L_Conversion!$D$123),"-",
IF(AND(M40="07",N40&gt;=L_Conversion!$C$124,N40&lt;=L_Conversion!$D$124),"-",
IF(AND(M40="08",N40&gt;=L_Conversion!$C$125,N40&lt;=L_Conversion!$D$125),"-",
IF(AND(M40="09",N40&gt;=L_Conversion!$C$126,N40&lt;=L_Conversion!$D$126),"-",
IF(AND(M40="10",N40&gt;=L_Conversion!$C$127,N40&lt;=L_Conversion!$D$127),"-",
IF(AND(M40="11",N40&gt;=L_Conversion!$C$128,N40&lt;=L_Conversion!$D$128),"-",
IF(AND(M40="12",N40&gt;=L_Conversion!$C$129,N40&lt;=L_Conversion!$D$129),"-",
IF(AND(M40="13",N40&gt;=L_Conversion!$C$116,N40&lt;=L_Conversion!$D$116),"-",
IF(AND(M40="14",N40&gt;=L_Conversion!$C$117,N40&lt;=L_Conversion!$D$117),"-",
"PRIMER_DIA fuera de rango")))))))))))))))</f>
        <v>-</v>
      </c>
      <c r="AS40" s="86" t="str">
        <f t="shared" si="13"/>
        <v>-</v>
      </c>
      <c r="AT40" s="86" t="str">
        <f t="shared" si="14"/>
        <v>-</v>
      </c>
      <c r="AU40" s="86" t="str">
        <f t="shared" si="15"/>
        <v>-</v>
      </c>
      <c r="AV40" s="86" t="str">
        <f t="shared" si="16"/>
        <v>-</v>
      </c>
      <c r="AW40" s="86" t="str">
        <f t="shared" si="17"/>
        <v>-</v>
      </c>
      <c r="AX40" s="86" t="str">
        <f t="shared" si="18"/>
        <v>-</v>
      </c>
      <c r="AY40" s="86" t="str">
        <f t="shared" si="19"/>
        <v>-</v>
      </c>
      <c r="AZ40" s="86" t="str">
        <f t="shared" si="20"/>
        <v>-</v>
      </c>
      <c r="BA40" s="86" t="str">
        <f t="shared" si="21"/>
        <v>-</v>
      </c>
      <c r="BB40" s="86" t="str">
        <f t="shared" si="22"/>
        <v>-</v>
      </c>
      <c r="BC40" s="86" t="str">
        <f t="shared" si="23"/>
        <v>-</v>
      </c>
      <c r="BD40" s="86" t="str">
        <f t="shared" si="24"/>
        <v>-</v>
      </c>
      <c r="BE40" s="86" t="str">
        <f t="shared" si="25"/>
        <v>-</v>
      </c>
      <c r="BF40" s="86" t="str">
        <f t="shared" si="26"/>
        <v>-</v>
      </c>
    </row>
    <row r="41" spans="1:58" x14ac:dyDescent="0.2">
      <c r="A41" s="80" t="s">
        <v>1144</v>
      </c>
      <c r="B41" s="92" t="s">
        <v>76</v>
      </c>
      <c r="C41" s="202">
        <v>15657849</v>
      </c>
      <c r="D41" s="203">
        <v>5</v>
      </c>
      <c r="E41" s="204" t="s">
        <v>1289</v>
      </c>
      <c r="F41" s="204" t="s">
        <v>1171</v>
      </c>
      <c r="G41" s="204" t="s">
        <v>1290</v>
      </c>
      <c r="H41" s="205" t="s">
        <v>1033</v>
      </c>
      <c r="I41" s="205" t="s">
        <v>662</v>
      </c>
      <c r="J41" s="203">
        <v>80</v>
      </c>
      <c r="K41" s="204" t="s">
        <v>563</v>
      </c>
      <c r="L41" s="206" t="s">
        <v>502</v>
      </c>
      <c r="M41" s="210" t="s">
        <v>18</v>
      </c>
      <c r="N41" s="211">
        <v>45667</v>
      </c>
      <c r="O41" s="207">
        <v>1</v>
      </c>
      <c r="P41" s="203">
        <v>2</v>
      </c>
      <c r="Q41" s="205" t="s">
        <v>23</v>
      </c>
      <c r="R41" s="205" t="s">
        <v>11</v>
      </c>
      <c r="S41" s="205" t="s">
        <v>23</v>
      </c>
      <c r="T41" s="207">
        <v>1</v>
      </c>
      <c r="U41" s="208" t="s">
        <v>11</v>
      </c>
      <c r="V41" s="212" t="s">
        <v>19</v>
      </c>
      <c r="W41" s="212" t="s">
        <v>19</v>
      </c>
      <c r="X41" s="209">
        <v>82346</v>
      </c>
      <c r="Y41" s="213" t="s">
        <v>735</v>
      </c>
      <c r="Z41" s="209">
        <v>1</v>
      </c>
      <c r="AA41" s="209">
        <v>82346</v>
      </c>
      <c r="AB41" s="209">
        <v>82346</v>
      </c>
      <c r="AC41" s="178" t="str">
        <f>IF(OR(M41="13",M41="14",P41=8),"",IF(AND(OR(S41="AUTORIZADO", S41="PENDIENTE", S41="REDUCIDO", S41="AMPLIADO"),L41&lt;&gt;"HONORARIO" ), CONCATENATE(IF(H41="X","H",H41),"_",IF(OR(P41=5,P41=6),_xlfn.CONCAT(P41,"A"),P41),"_",VLOOKUP(T41,Datos!$B$2:$C$5,2,TRUE)),""))</f>
        <v>M_2_[hasta 3]</v>
      </c>
      <c r="AD41" s="178">
        <f t="shared" si="0"/>
        <v>164692</v>
      </c>
      <c r="AE41" s="82" t="str">
        <f t="shared" si="1"/>
        <v>-</v>
      </c>
      <c r="AF41" s="83" t="str">
        <f t="shared" si="2"/>
        <v>070601</v>
      </c>
      <c r="AG41" s="84"/>
      <c r="AH41" s="85" t="str">
        <f t="shared" si="3"/>
        <v>Corporación de Fomento de la Producción</v>
      </c>
      <c r="AI41" s="82" t="str">
        <f t="shared" si="4"/>
        <v>-</v>
      </c>
      <c r="AJ41" s="82">
        <f t="shared" si="5"/>
        <v>5</v>
      </c>
      <c r="AK41" s="82" t="str">
        <f t="shared" si="6"/>
        <v>-</v>
      </c>
      <c r="AL41" s="82" t="str">
        <f t="shared" si="7"/>
        <v>Identifica este registro como MUJER</v>
      </c>
      <c r="AM41" s="82" t="str">
        <f t="shared" si="8"/>
        <v>-</v>
      </c>
      <c r="AN41" s="82" t="str">
        <f t="shared" si="9"/>
        <v>-</v>
      </c>
      <c r="AO41" s="82" t="str">
        <f t="shared" si="10"/>
        <v>-</v>
      </c>
      <c r="AP41" s="57" t="str">
        <f t="shared" si="11"/>
        <v>-</v>
      </c>
      <c r="AQ41" s="86" t="str">
        <f t="shared" si="12"/>
        <v>-</v>
      </c>
      <c r="AR41" s="86" t="str">
        <f>IF(N41="","PRIMER_DIA en blanco",
IF(AND(M41="01",N41&gt;=L_Conversion!$C$118,N41&lt;=L_Conversion!$D$118),"-",
IF(AND(M41="02",N41&gt;=L_Conversion!$C$119,N41&lt;=L_Conversion!$D$119),"-",
IF(AND(M41="03",N41&gt;=L_Conversion!$C$120,N41&lt;=L_Conversion!$D$120),"-",
IF(AND(M41="04",N41&gt;=L_Conversion!$C$121,N41&lt;=L_Conversion!$D$121),"-",
IF(AND(M41="05",N41&gt;=L_Conversion!$C$122,N41&lt;=L_Conversion!$D$122),"-",
IF(AND(M41="06",N41&gt;=L_Conversion!$C$123,N41&lt;=L_Conversion!$D$123),"-",
IF(AND(M41="07",N41&gt;=L_Conversion!$C$124,N41&lt;=L_Conversion!$D$124),"-",
IF(AND(M41="08",N41&gt;=L_Conversion!$C$125,N41&lt;=L_Conversion!$D$125),"-",
IF(AND(M41="09",N41&gt;=L_Conversion!$C$126,N41&lt;=L_Conversion!$D$126),"-",
IF(AND(M41="10",N41&gt;=L_Conversion!$C$127,N41&lt;=L_Conversion!$D$127),"-",
IF(AND(M41="11",N41&gt;=L_Conversion!$C$128,N41&lt;=L_Conversion!$D$128),"-",
IF(AND(M41="12",N41&gt;=L_Conversion!$C$129,N41&lt;=L_Conversion!$D$129),"-",
IF(AND(M41="13",N41&gt;=L_Conversion!$C$116,N41&lt;=L_Conversion!$D$116),"-",
IF(AND(M41="14",N41&gt;=L_Conversion!$C$117,N41&lt;=L_Conversion!$D$117),"-",
"PRIMER_DIA fuera de rango")))))))))))))))</f>
        <v>-</v>
      </c>
      <c r="AS41" s="86" t="str">
        <f t="shared" si="13"/>
        <v>-</v>
      </c>
      <c r="AT41" s="86" t="str">
        <f t="shared" si="14"/>
        <v>-</v>
      </c>
      <c r="AU41" s="86" t="str">
        <f t="shared" si="15"/>
        <v>-</v>
      </c>
      <c r="AV41" s="86" t="str">
        <f t="shared" si="16"/>
        <v>-</v>
      </c>
      <c r="AW41" s="86" t="str">
        <f t="shared" si="17"/>
        <v>-</v>
      </c>
      <c r="AX41" s="86" t="str">
        <f t="shared" si="18"/>
        <v>-</v>
      </c>
      <c r="AY41" s="86" t="str">
        <f t="shared" si="19"/>
        <v>-</v>
      </c>
      <c r="AZ41" s="86" t="str">
        <f t="shared" si="20"/>
        <v>-</v>
      </c>
      <c r="BA41" s="86" t="str">
        <f t="shared" si="21"/>
        <v>-</v>
      </c>
      <c r="BB41" s="86" t="str">
        <f t="shared" si="22"/>
        <v>-</v>
      </c>
      <c r="BC41" s="86" t="str">
        <f t="shared" si="23"/>
        <v>-</v>
      </c>
      <c r="BD41" s="86" t="str">
        <f t="shared" si="24"/>
        <v>-</v>
      </c>
      <c r="BE41" s="86" t="str">
        <f t="shared" si="25"/>
        <v>-</v>
      </c>
      <c r="BF41" s="86" t="str">
        <f t="shared" si="26"/>
        <v>-</v>
      </c>
    </row>
    <row r="42" spans="1:58" x14ac:dyDescent="0.2">
      <c r="A42" s="80" t="s">
        <v>1144</v>
      </c>
      <c r="B42" s="92" t="s">
        <v>76</v>
      </c>
      <c r="C42" s="202">
        <v>16389083</v>
      </c>
      <c r="D42" s="203">
        <v>6</v>
      </c>
      <c r="E42" s="204" t="s">
        <v>1172</v>
      </c>
      <c r="F42" s="204" t="s">
        <v>1198</v>
      </c>
      <c r="G42" s="204" t="s">
        <v>1291</v>
      </c>
      <c r="H42" s="205" t="s">
        <v>663</v>
      </c>
      <c r="I42" s="205" t="s">
        <v>662</v>
      </c>
      <c r="J42" s="203">
        <v>80</v>
      </c>
      <c r="K42" s="204" t="s">
        <v>563</v>
      </c>
      <c r="L42" s="206" t="s">
        <v>502</v>
      </c>
      <c r="M42" s="210" t="s">
        <v>18</v>
      </c>
      <c r="N42" s="211">
        <v>45667</v>
      </c>
      <c r="O42" s="207">
        <v>1</v>
      </c>
      <c r="P42" s="203">
        <v>1</v>
      </c>
      <c r="Q42" s="205" t="s">
        <v>23</v>
      </c>
      <c r="R42" s="205" t="s">
        <v>11</v>
      </c>
      <c r="S42" s="205" t="s">
        <v>23</v>
      </c>
      <c r="T42" s="207">
        <v>1</v>
      </c>
      <c r="U42" s="208" t="s">
        <v>11</v>
      </c>
      <c r="V42" s="212" t="s">
        <v>19</v>
      </c>
      <c r="W42" s="212" t="s">
        <v>19</v>
      </c>
      <c r="X42" s="209">
        <v>21041</v>
      </c>
      <c r="Y42" s="213" t="s">
        <v>735</v>
      </c>
      <c r="Z42" s="209">
        <v>1</v>
      </c>
      <c r="AA42" s="209">
        <v>21041</v>
      </c>
      <c r="AB42" s="209">
        <v>21041</v>
      </c>
      <c r="AC42" s="178" t="str">
        <f>IF(OR(M42="13",M42="14",P42=8),"",IF(AND(OR(S42="AUTORIZADO", S42="PENDIENTE", S42="REDUCIDO", S42="AMPLIADO"),L42&lt;&gt;"HONORARIO" ), CONCATENATE(IF(H42="X","H",H42),"_",IF(OR(P42=5,P42=6),_xlfn.CONCAT(P42,"A"),P42),"_",VLOOKUP(T42,Datos!$B$2:$C$5,2,TRUE)),""))</f>
        <v>H_1_[hasta 3]</v>
      </c>
      <c r="AD42" s="178">
        <f t="shared" si="0"/>
        <v>42082</v>
      </c>
      <c r="AE42" s="82" t="str">
        <f t="shared" si="1"/>
        <v>-</v>
      </c>
      <c r="AF42" s="83" t="str">
        <f t="shared" si="2"/>
        <v>070601</v>
      </c>
      <c r="AG42" s="84"/>
      <c r="AH42" s="85" t="str">
        <f t="shared" si="3"/>
        <v>Corporación de Fomento de la Producción</v>
      </c>
      <c r="AI42" s="82" t="str">
        <f t="shared" si="4"/>
        <v>-</v>
      </c>
      <c r="AJ42" s="82">
        <f t="shared" si="5"/>
        <v>6</v>
      </c>
      <c r="AK42" s="82" t="str">
        <f t="shared" si="6"/>
        <v>-</v>
      </c>
      <c r="AL42" s="82" t="str">
        <f t="shared" si="7"/>
        <v>Identifica este registro como HOMBRE</v>
      </c>
      <c r="AM42" s="82" t="str">
        <f t="shared" si="8"/>
        <v>-</v>
      </c>
      <c r="AN42" s="82" t="str">
        <f t="shared" si="9"/>
        <v>-</v>
      </c>
      <c r="AO42" s="82" t="str">
        <f t="shared" si="10"/>
        <v>-</v>
      </c>
      <c r="AP42" s="57" t="str">
        <f t="shared" si="11"/>
        <v>-</v>
      </c>
      <c r="AQ42" s="86" t="str">
        <f t="shared" si="12"/>
        <v>-</v>
      </c>
      <c r="AR42" s="86" t="str">
        <f>IF(N42="","PRIMER_DIA en blanco",
IF(AND(M42="01",N42&gt;=L_Conversion!$C$118,N42&lt;=L_Conversion!$D$118),"-",
IF(AND(M42="02",N42&gt;=L_Conversion!$C$119,N42&lt;=L_Conversion!$D$119),"-",
IF(AND(M42="03",N42&gt;=L_Conversion!$C$120,N42&lt;=L_Conversion!$D$120),"-",
IF(AND(M42="04",N42&gt;=L_Conversion!$C$121,N42&lt;=L_Conversion!$D$121),"-",
IF(AND(M42="05",N42&gt;=L_Conversion!$C$122,N42&lt;=L_Conversion!$D$122),"-",
IF(AND(M42="06",N42&gt;=L_Conversion!$C$123,N42&lt;=L_Conversion!$D$123),"-",
IF(AND(M42="07",N42&gt;=L_Conversion!$C$124,N42&lt;=L_Conversion!$D$124),"-",
IF(AND(M42="08",N42&gt;=L_Conversion!$C$125,N42&lt;=L_Conversion!$D$125),"-",
IF(AND(M42="09",N42&gt;=L_Conversion!$C$126,N42&lt;=L_Conversion!$D$126),"-",
IF(AND(M42="10",N42&gt;=L_Conversion!$C$127,N42&lt;=L_Conversion!$D$127),"-",
IF(AND(M42="11",N42&gt;=L_Conversion!$C$128,N42&lt;=L_Conversion!$D$128),"-",
IF(AND(M42="12",N42&gt;=L_Conversion!$C$129,N42&lt;=L_Conversion!$D$129),"-",
IF(AND(M42="13",N42&gt;=L_Conversion!$C$116,N42&lt;=L_Conversion!$D$116),"-",
IF(AND(M42="14",N42&gt;=L_Conversion!$C$117,N42&lt;=L_Conversion!$D$117),"-",
"PRIMER_DIA fuera de rango")))))))))))))))</f>
        <v>-</v>
      </c>
      <c r="AS42" s="86" t="str">
        <f t="shared" si="13"/>
        <v>-</v>
      </c>
      <c r="AT42" s="86" t="str">
        <f t="shared" si="14"/>
        <v>-</v>
      </c>
      <c r="AU42" s="86" t="str">
        <f t="shared" si="15"/>
        <v>-</v>
      </c>
      <c r="AV42" s="86" t="str">
        <f t="shared" si="16"/>
        <v>-</v>
      </c>
      <c r="AW42" s="86" t="str">
        <f t="shared" si="17"/>
        <v>-</v>
      </c>
      <c r="AX42" s="86" t="str">
        <f t="shared" si="18"/>
        <v>-</v>
      </c>
      <c r="AY42" s="86" t="str">
        <f t="shared" si="19"/>
        <v>-</v>
      </c>
      <c r="AZ42" s="86" t="str">
        <f t="shared" si="20"/>
        <v>-</v>
      </c>
      <c r="BA42" s="86" t="str">
        <f t="shared" si="21"/>
        <v>-</v>
      </c>
      <c r="BB42" s="86" t="str">
        <f t="shared" si="22"/>
        <v>-</v>
      </c>
      <c r="BC42" s="86" t="str">
        <f t="shared" si="23"/>
        <v>-</v>
      </c>
      <c r="BD42" s="86" t="str">
        <f t="shared" si="24"/>
        <v>-</v>
      </c>
      <c r="BE42" s="86" t="str">
        <f t="shared" si="25"/>
        <v>-</v>
      </c>
      <c r="BF42" s="86" t="str">
        <f t="shared" si="26"/>
        <v>-</v>
      </c>
    </row>
    <row r="43" spans="1:58" x14ac:dyDescent="0.2">
      <c r="A43" s="80" t="s">
        <v>1144</v>
      </c>
      <c r="B43" s="92" t="s">
        <v>1220</v>
      </c>
      <c r="C43" s="202">
        <v>16281137</v>
      </c>
      <c r="D43" s="203">
        <v>1</v>
      </c>
      <c r="E43" s="204" t="s">
        <v>1292</v>
      </c>
      <c r="F43" s="204" t="s">
        <v>1175</v>
      </c>
      <c r="G43" s="204" t="s">
        <v>1293</v>
      </c>
      <c r="H43" s="205" t="s">
        <v>663</v>
      </c>
      <c r="I43" s="205" t="s">
        <v>663</v>
      </c>
      <c r="J43" s="203">
        <v>80</v>
      </c>
      <c r="K43" s="204" t="s">
        <v>563</v>
      </c>
      <c r="L43" s="206" t="s">
        <v>516</v>
      </c>
      <c r="M43" s="210" t="s">
        <v>18</v>
      </c>
      <c r="N43" s="211">
        <v>45667</v>
      </c>
      <c r="O43" s="207">
        <v>1</v>
      </c>
      <c r="P43" s="203">
        <v>1</v>
      </c>
      <c r="Q43" s="205" t="s">
        <v>23</v>
      </c>
      <c r="R43" s="205" t="s">
        <v>11</v>
      </c>
      <c r="S43" s="205" t="s">
        <v>23</v>
      </c>
      <c r="T43" s="207">
        <v>1</v>
      </c>
      <c r="U43" s="208" t="s">
        <v>11</v>
      </c>
      <c r="V43" s="212" t="s">
        <v>19</v>
      </c>
      <c r="W43" s="212" t="s">
        <v>19</v>
      </c>
      <c r="X43" s="209">
        <v>13233</v>
      </c>
      <c r="Y43" s="213" t="s">
        <v>735</v>
      </c>
      <c r="Z43" s="209">
        <v>1</v>
      </c>
      <c r="AA43" s="209">
        <v>13233</v>
      </c>
      <c r="AB43" s="209">
        <v>13233</v>
      </c>
      <c r="AC43" s="178" t="str">
        <f>IF(OR(M43="13",M43="14",P43=8),"",IF(AND(OR(S43="AUTORIZADO", S43="PENDIENTE", S43="REDUCIDO", S43="AMPLIADO"),L43&lt;&gt;"HONORARIO" ), CONCATENATE(IF(H43="X","H",H43),"_",IF(OR(P43=5,P43=6),_xlfn.CONCAT(P43,"A"),P43),"_",VLOOKUP(T43,Datos!$B$2:$C$5,2,TRUE)),""))</f>
        <v>H_1_[hasta 3]</v>
      </c>
      <c r="AD43" s="178">
        <f t="shared" si="0"/>
        <v>26466</v>
      </c>
      <c r="AE43" s="82" t="str">
        <f t="shared" si="1"/>
        <v>-</v>
      </c>
      <c r="AF43" s="83" t="str">
        <f t="shared" si="2"/>
        <v>Revisar</v>
      </c>
      <c r="AG43" s="84"/>
      <c r="AH43" s="85" t="str">
        <f t="shared" si="3"/>
        <v>Corregir código servicio</v>
      </c>
      <c r="AI43" s="82" t="str">
        <f t="shared" si="4"/>
        <v>-</v>
      </c>
      <c r="AJ43" s="82">
        <f t="shared" si="5"/>
        <v>1</v>
      </c>
      <c r="AK43" s="82" t="str">
        <f t="shared" si="6"/>
        <v>-</v>
      </c>
      <c r="AL43" s="82" t="str">
        <f t="shared" si="7"/>
        <v>Identifica este registro como HOMBRE</v>
      </c>
      <c r="AM43" s="82" t="str">
        <f t="shared" si="8"/>
        <v>-</v>
      </c>
      <c r="AN43" s="82" t="str">
        <f t="shared" si="9"/>
        <v>-</v>
      </c>
      <c r="AO43" s="82" t="str">
        <f t="shared" si="10"/>
        <v>-</v>
      </c>
      <c r="AP43" s="57" t="str">
        <f t="shared" si="11"/>
        <v>-</v>
      </c>
      <c r="AQ43" s="86" t="str">
        <f t="shared" si="12"/>
        <v>-</v>
      </c>
      <c r="AR43" s="86" t="str">
        <f>IF(N43="","PRIMER_DIA en blanco",
IF(AND(M43="01",N43&gt;=L_Conversion!$C$118,N43&lt;=L_Conversion!$D$118),"-",
IF(AND(M43="02",N43&gt;=L_Conversion!$C$119,N43&lt;=L_Conversion!$D$119),"-",
IF(AND(M43="03",N43&gt;=L_Conversion!$C$120,N43&lt;=L_Conversion!$D$120),"-",
IF(AND(M43="04",N43&gt;=L_Conversion!$C$121,N43&lt;=L_Conversion!$D$121),"-",
IF(AND(M43="05",N43&gt;=L_Conversion!$C$122,N43&lt;=L_Conversion!$D$122),"-",
IF(AND(M43="06",N43&gt;=L_Conversion!$C$123,N43&lt;=L_Conversion!$D$123),"-",
IF(AND(M43="07",N43&gt;=L_Conversion!$C$124,N43&lt;=L_Conversion!$D$124),"-",
IF(AND(M43="08",N43&gt;=L_Conversion!$C$125,N43&lt;=L_Conversion!$D$125),"-",
IF(AND(M43="09",N43&gt;=L_Conversion!$C$126,N43&lt;=L_Conversion!$D$126),"-",
IF(AND(M43="10",N43&gt;=L_Conversion!$C$127,N43&lt;=L_Conversion!$D$127),"-",
IF(AND(M43="11",N43&gt;=L_Conversion!$C$128,N43&lt;=L_Conversion!$D$128),"-",
IF(AND(M43="12",N43&gt;=L_Conversion!$C$129,N43&lt;=L_Conversion!$D$129),"-",
IF(AND(M43="13",N43&gt;=L_Conversion!$C$116,N43&lt;=L_Conversion!$D$116),"-",
IF(AND(M43="14",N43&gt;=L_Conversion!$C$117,N43&lt;=L_Conversion!$D$117),"-",
"PRIMER_DIA fuera de rango")))))))))))))))</f>
        <v>-</v>
      </c>
      <c r="AS43" s="86" t="str">
        <f t="shared" si="13"/>
        <v>-</v>
      </c>
      <c r="AT43" s="86" t="str">
        <f t="shared" si="14"/>
        <v>-</v>
      </c>
      <c r="AU43" s="86" t="str">
        <f t="shared" si="15"/>
        <v>-</v>
      </c>
      <c r="AV43" s="86" t="str">
        <f t="shared" si="16"/>
        <v>-</v>
      </c>
      <c r="AW43" s="86" t="str">
        <f t="shared" si="17"/>
        <v>-</v>
      </c>
      <c r="AX43" s="86" t="str">
        <f t="shared" si="18"/>
        <v>-</v>
      </c>
      <c r="AY43" s="86" t="str">
        <f t="shared" si="19"/>
        <v>-</v>
      </c>
      <c r="AZ43" s="86" t="str">
        <f t="shared" si="20"/>
        <v>-</v>
      </c>
      <c r="BA43" s="86" t="str">
        <f t="shared" si="21"/>
        <v>-</v>
      </c>
      <c r="BB43" s="86" t="str">
        <f t="shared" si="22"/>
        <v>-</v>
      </c>
      <c r="BC43" s="86" t="str">
        <f t="shared" si="23"/>
        <v>-</v>
      </c>
      <c r="BD43" s="86" t="str">
        <f t="shared" si="24"/>
        <v>-</v>
      </c>
      <c r="BE43" s="86" t="str">
        <f t="shared" si="25"/>
        <v>-</v>
      </c>
      <c r="BF43" s="86" t="str">
        <f t="shared" si="26"/>
        <v>-</v>
      </c>
    </row>
    <row r="44" spans="1:58" x14ac:dyDescent="0.2">
      <c r="A44" s="80" t="s">
        <v>1144</v>
      </c>
      <c r="B44" s="92" t="s">
        <v>76</v>
      </c>
      <c r="C44" s="202">
        <v>14423771</v>
      </c>
      <c r="D44" s="203">
        <v>4</v>
      </c>
      <c r="E44" s="204" t="s">
        <v>1226</v>
      </c>
      <c r="F44" s="204" t="s">
        <v>1227</v>
      </c>
      <c r="G44" s="204" t="s">
        <v>1228</v>
      </c>
      <c r="H44" s="205" t="s">
        <v>663</v>
      </c>
      <c r="I44" s="205" t="s">
        <v>662</v>
      </c>
      <c r="J44" s="203">
        <v>80</v>
      </c>
      <c r="K44" s="204" t="s">
        <v>563</v>
      </c>
      <c r="L44" s="206" t="s">
        <v>502</v>
      </c>
      <c r="M44" s="210" t="s">
        <v>18</v>
      </c>
      <c r="N44" s="211">
        <v>45668</v>
      </c>
      <c r="O44" s="207">
        <v>21</v>
      </c>
      <c r="P44" s="203">
        <v>1</v>
      </c>
      <c r="Q44" s="205" t="s">
        <v>23</v>
      </c>
      <c r="R44" s="205" t="s">
        <v>11</v>
      </c>
      <c r="S44" s="205" t="s">
        <v>23</v>
      </c>
      <c r="T44" s="207">
        <v>21</v>
      </c>
      <c r="U44" s="208" t="s">
        <v>11</v>
      </c>
      <c r="V44" s="212" t="s">
        <v>11</v>
      </c>
      <c r="W44" s="212" t="s">
        <v>19</v>
      </c>
      <c r="X44" s="209">
        <v>2026159</v>
      </c>
      <c r="Y44" s="213" t="s">
        <v>735</v>
      </c>
      <c r="Z44" s="209">
        <v>21</v>
      </c>
      <c r="AA44" s="209">
        <v>2026159</v>
      </c>
      <c r="AB44" s="209">
        <v>2026159</v>
      </c>
      <c r="AC44" s="178" t="str">
        <f>IF(OR(M44="13",M44="14",P44=8),"",IF(AND(OR(S44="AUTORIZADO", S44="PENDIENTE", S44="REDUCIDO", S44="AMPLIADO"),L44&lt;&gt;"HONORARIO" ), CONCATENATE(IF(H44="X","H",H44),"_",IF(OR(P44=5,P44=6),_xlfn.CONCAT(P44,"A"),P44),"_",VLOOKUP(T44,Datos!$B$2:$C$5,2,TRUE)),""))</f>
        <v>H_1_[11 +]</v>
      </c>
      <c r="AD44" s="178">
        <f t="shared" si="0"/>
        <v>4052318</v>
      </c>
      <c r="AE44" s="82" t="str">
        <f t="shared" si="1"/>
        <v>-</v>
      </c>
      <c r="AF44" s="83" t="str">
        <f t="shared" si="2"/>
        <v>070601</v>
      </c>
      <c r="AG44" s="84"/>
      <c r="AH44" s="85" t="str">
        <f t="shared" si="3"/>
        <v>Corporación de Fomento de la Producción</v>
      </c>
      <c r="AI44" s="82" t="str">
        <f t="shared" si="4"/>
        <v>-</v>
      </c>
      <c r="AJ44" s="82">
        <f t="shared" si="5"/>
        <v>4</v>
      </c>
      <c r="AK44" s="82" t="str">
        <f t="shared" si="6"/>
        <v>-</v>
      </c>
      <c r="AL44" s="82" t="str">
        <f t="shared" si="7"/>
        <v>Identifica este registro como HOMBRE</v>
      </c>
      <c r="AM44" s="82" t="str">
        <f t="shared" si="8"/>
        <v>-</v>
      </c>
      <c r="AN44" s="82" t="str">
        <f t="shared" si="9"/>
        <v>-</v>
      </c>
      <c r="AO44" s="82" t="str">
        <f t="shared" si="10"/>
        <v>-</v>
      </c>
      <c r="AP44" s="57" t="str">
        <f t="shared" si="11"/>
        <v>-</v>
      </c>
      <c r="AQ44" s="86" t="str">
        <f t="shared" si="12"/>
        <v>-</v>
      </c>
      <c r="AR44" s="86" t="str">
        <f>IF(N44="","PRIMER_DIA en blanco",
IF(AND(M44="01",N44&gt;=L_Conversion!$C$118,N44&lt;=L_Conversion!$D$118),"-",
IF(AND(M44="02",N44&gt;=L_Conversion!$C$119,N44&lt;=L_Conversion!$D$119),"-",
IF(AND(M44="03",N44&gt;=L_Conversion!$C$120,N44&lt;=L_Conversion!$D$120),"-",
IF(AND(M44="04",N44&gt;=L_Conversion!$C$121,N44&lt;=L_Conversion!$D$121),"-",
IF(AND(M44="05",N44&gt;=L_Conversion!$C$122,N44&lt;=L_Conversion!$D$122),"-",
IF(AND(M44="06",N44&gt;=L_Conversion!$C$123,N44&lt;=L_Conversion!$D$123),"-",
IF(AND(M44="07",N44&gt;=L_Conversion!$C$124,N44&lt;=L_Conversion!$D$124),"-",
IF(AND(M44="08",N44&gt;=L_Conversion!$C$125,N44&lt;=L_Conversion!$D$125),"-",
IF(AND(M44="09",N44&gt;=L_Conversion!$C$126,N44&lt;=L_Conversion!$D$126),"-",
IF(AND(M44="10",N44&gt;=L_Conversion!$C$127,N44&lt;=L_Conversion!$D$127),"-",
IF(AND(M44="11",N44&gt;=L_Conversion!$C$128,N44&lt;=L_Conversion!$D$128),"-",
IF(AND(M44="12",N44&gt;=L_Conversion!$C$129,N44&lt;=L_Conversion!$D$129),"-",
IF(AND(M44="13",N44&gt;=L_Conversion!$C$116,N44&lt;=L_Conversion!$D$116),"-",
IF(AND(M44="14",N44&gt;=L_Conversion!$C$117,N44&lt;=L_Conversion!$D$117),"-",
"PRIMER_DIA fuera de rango")))))))))))))))</f>
        <v>-</v>
      </c>
      <c r="AS44" s="86" t="str">
        <f t="shared" si="13"/>
        <v>-</v>
      </c>
      <c r="AT44" s="86" t="str">
        <f t="shared" si="14"/>
        <v>-</v>
      </c>
      <c r="AU44" s="86" t="str">
        <f t="shared" si="15"/>
        <v>-</v>
      </c>
      <c r="AV44" s="86" t="str">
        <f t="shared" si="16"/>
        <v>-</v>
      </c>
      <c r="AW44" s="86" t="str">
        <f t="shared" si="17"/>
        <v>-</v>
      </c>
      <c r="AX44" s="86" t="str">
        <f t="shared" si="18"/>
        <v>-</v>
      </c>
      <c r="AY44" s="86" t="str">
        <f t="shared" si="19"/>
        <v>-</v>
      </c>
      <c r="AZ44" s="86" t="str">
        <f t="shared" si="20"/>
        <v>-</v>
      </c>
      <c r="BA44" s="86" t="str">
        <f t="shared" si="21"/>
        <v>-</v>
      </c>
      <c r="BB44" s="86" t="str">
        <f t="shared" si="22"/>
        <v>-</v>
      </c>
      <c r="BC44" s="86" t="str">
        <f t="shared" si="23"/>
        <v>-</v>
      </c>
      <c r="BD44" s="86" t="str">
        <f t="shared" si="24"/>
        <v>-</v>
      </c>
      <c r="BE44" s="86" t="str">
        <f t="shared" si="25"/>
        <v>-</v>
      </c>
      <c r="BF44" s="86" t="str">
        <f t="shared" si="26"/>
        <v>-</v>
      </c>
    </row>
    <row r="45" spans="1:58" x14ac:dyDescent="0.2">
      <c r="A45" s="80" t="s">
        <v>1144</v>
      </c>
      <c r="B45" s="92" t="s">
        <v>76</v>
      </c>
      <c r="C45" s="202">
        <v>18795825</v>
      </c>
      <c r="D45" s="203">
        <v>3</v>
      </c>
      <c r="E45" s="204" t="s">
        <v>1235</v>
      </c>
      <c r="F45" s="204" t="s">
        <v>1294</v>
      </c>
      <c r="G45" s="204" t="s">
        <v>1295</v>
      </c>
      <c r="H45" s="205" t="s">
        <v>663</v>
      </c>
      <c r="I45" s="205" t="s">
        <v>663</v>
      </c>
      <c r="J45" s="203">
        <v>80</v>
      </c>
      <c r="K45" s="204" t="s">
        <v>567</v>
      </c>
      <c r="L45" s="206" t="s">
        <v>519</v>
      </c>
      <c r="M45" s="210" t="s">
        <v>18</v>
      </c>
      <c r="N45" s="211">
        <v>45668</v>
      </c>
      <c r="O45" s="207">
        <v>1</v>
      </c>
      <c r="P45" s="203">
        <v>1</v>
      </c>
      <c r="Q45" s="205" t="s">
        <v>23</v>
      </c>
      <c r="R45" s="205" t="s">
        <v>11</v>
      </c>
      <c r="S45" s="205" t="s">
        <v>23</v>
      </c>
      <c r="T45" s="207">
        <v>1</v>
      </c>
      <c r="U45" s="208" t="s">
        <v>11</v>
      </c>
      <c r="V45" s="212" t="s">
        <v>19</v>
      </c>
      <c r="W45" s="212" t="s">
        <v>19</v>
      </c>
      <c r="X45" s="209">
        <v>6414</v>
      </c>
      <c r="Y45" s="213" t="s">
        <v>735</v>
      </c>
      <c r="Z45" s="209">
        <v>1</v>
      </c>
      <c r="AA45" s="209">
        <v>6414</v>
      </c>
      <c r="AB45" s="209">
        <v>6414</v>
      </c>
      <c r="AC45" s="178" t="str">
        <f>IF(OR(M45="13",M45="14",P45=8),"",IF(AND(OR(S45="AUTORIZADO", S45="PENDIENTE", S45="REDUCIDO", S45="AMPLIADO"),L45&lt;&gt;"HONORARIO" ), CONCATENATE(IF(H45="X","H",H45),"_",IF(OR(P45=5,P45=6),_xlfn.CONCAT(P45,"A"),P45),"_",VLOOKUP(T45,Datos!$B$2:$C$5,2,TRUE)),""))</f>
        <v>H_1_[hasta 3]</v>
      </c>
      <c r="AD45" s="178">
        <f t="shared" si="0"/>
        <v>12828</v>
      </c>
      <c r="AE45" s="82" t="str">
        <f t="shared" si="1"/>
        <v>-</v>
      </c>
      <c r="AF45" s="83" t="str">
        <f t="shared" si="2"/>
        <v>070601</v>
      </c>
      <c r="AG45" s="84"/>
      <c r="AH45" s="85" t="str">
        <f t="shared" si="3"/>
        <v>Corporación de Fomento de la Producción</v>
      </c>
      <c r="AI45" s="82" t="str">
        <f t="shared" si="4"/>
        <v>-</v>
      </c>
      <c r="AJ45" s="82">
        <f t="shared" si="5"/>
        <v>3</v>
      </c>
      <c r="AK45" s="82" t="str">
        <f t="shared" si="6"/>
        <v>-</v>
      </c>
      <c r="AL45" s="82" t="str">
        <f t="shared" si="7"/>
        <v>Identifica este registro como HOMBRE</v>
      </c>
      <c r="AM45" s="82" t="str">
        <f t="shared" si="8"/>
        <v>-</v>
      </c>
      <c r="AN45" s="82" t="str">
        <f t="shared" si="9"/>
        <v>-</v>
      </c>
      <c r="AO45" s="82" t="str">
        <f t="shared" si="10"/>
        <v>-</v>
      </c>
      <c r="AP45" s="57" t="str">
        <f t="shared" si="11"/>
        <v>-</v>
      </c>
      <c r="AQ45" s="86" t="str">
        <f t="shared" si="12"/>
        <v>-</v>
      </c>
      <c r="AR45" s="86" t="str">
        <f>IF(N45="","PRIMER_DIA en blanco",
IF(AND(M45="01",N45&gt;=L_Conversion!$C$118,N45&lt;=L_Conversion!$D$118),"-",
IF(AND(M45="02",N45&gt;=L_Conversion!$C$119,N45&lt;=L_Conversion!$D$119),"-",
IF(AND(M45="03",N45&gt;=L_Conversion!$C$120,N45&lt;=L_Conversion!$D$120),"-",
IF(AND(M45="04",N45&gt;=L_Conversion!$C$121,N45&lt;=L_Conversion!$D$121),"-",
IF(AND(M45="05",N45&gt;=L_Conversion!$C$122,N45&lt;=L_Conversion!$D$122),"-",
IF(AND(M45="06",N45&gt;=L_Conversion!$C$123,N45&lt;=L_Conversion!$D$123),"-",
IF(AND(M45="07",N45&gt;=L_Conversion!$C$124,N45&lt;=L_Conversion!$D$124),"-",
IF(AND(M45="08",N45&gt;=L_Conversion!$C$125,N45&lt;=L_Conversion!$D$125),"-",
IF(AND(M45="09",N45&gt;=L_Conversion!$C$126,N45&lt;=L_Conversion!$D$126),"-",
IF(AND(M45="10",N45&gt;=L_Conversion!$C$127,N45&lt;=L_Conversion!$D$127),"-",
IF(AND(M45="11",N45&gt;=L_Conversion!$C$128,N45&lt;=L_Conversion!$D$128),"-",
IF(AND(M45="12",N45&gt;=L_Conversion!$C$129,N45&lt;=L_Conversion!$D$129),"-",
IF(AND(M45="13",N45&gt;=L_Conversion!$C$116,N45&lt;=L_Conversion!$D$116),"-",
IF(AND(M45="14",N45&gt;=L_Conversion!$C$117,N45&lt;=L_Conversion!$D$117),"-",
"PRIMER_DIA fuera de rango")))))))))))))))</f>
        <v>-</v>
      </c>
      <c r="AS45" s="86" t="str">
        <f t="shared" si="13"/>
        <v>-</v>
      </c>
      <c r="AT45" s="86" t="str">
        <f t="shared" si="14"/>
        <v>-</v>
      </c>
      <c r="AU45" s="86" t="str">
        <f t="shared" si="15"/>
        <v>-</v>
      </c>
      <c r="AV45" s="86" t="str">
        <f t="shared" si="16"/>
        <v>-</v>
      </c>
      <c r="AW45" s="86" t="str">
        <f t="shared" si="17"/>
        <v>-</v>
      </c>
      <c r="AX45" s="86" t="str">
        <f t="shared" si="18"/>
        <v>-</v>
      </c>
      <c r="AY45" s="86" t="str">
        <f t="shared" si="19"/>
        <v>-</v>
      </c>
      <c r="AZ45" s="86" t="str">
        <f t="shared" si="20"/>
        <v>-</v>
      </c>
      <c r="BA45" s="86" t="str">
        <f t="shared" si="21"/>
        <v>-</v>
      </c>
      <c r="BB45" s="86" t="str">
        <f t="shared" si="22"/>
        <v>-</v>
      </c>
      <c r="BC45" s="86" t="str">
        <f t="shared" si="23"/>
        <v>-</v>
      </c>
      <c r="BD45" s="86" t="str">
        <f t="shared" si="24"/>
        <v>-</v>
      </c>
      <c r="BE45" s="86" t="str">
        <f t="shared" si="25"/>
        <v>-</v>
      </c>
      <c r="BF45" s="86" t="str">
        <f t="shared" si="26"/>
        <v>-</v>
      </c>
    </row>
    <row r="46" spans="1:58" x14ac:dyDescent="0.2">
      <c r="A46" s="80" t="s">
        <v>1144</v>
      </c>
      <c r="B46" s="92" t="s">
        <v>76</v>
      </c>
      <c r="C46" s="202">
        <v>12630178</v>
      </c>
      <c r="D46" s="203">
        <v>2</v>
      </c>
      <c r="E46" s="204" t="s">
        <v>1296</v>
      </c>
      <c r="F46" s="204" t="s">
        <v>1163</v>
      </c>
      <c r="G46" s="204" t="s">
        <v>1297</v>
      </c>
      <c r="H46" s="205" t="s">
        <v>1033</v>
      </c>
      <c r="I46" s="205" t="s">
        <v>662</v>
      </c>
      <c r="J46" s="203">
        <v>80</v>
      </c>
      <c r="K46" s="204" t="s">
        <v>563</v>
      </c>
      <c r="L46" s="206" t="s">
        <v>502</v>
      </c>
      <c r="M46" s="214" t="s">
        <v>18</v>
      </c>
      <c r="N46" s="211">
        <v>45668</v>
      </c>
      <c r="O46" s="207">
        <v>30</v>
      </c>
      <c r="P46" s="203">
        <v>1</v>
      </c>
      <c r="Q46" s="205" t="s">
        <v>23</v>
      </c>
      <c r="R46" s="205" t="s">
        <v>11</v>
      </c>
      <c r="S46" s="205" t="s">
        <v>23</v>
      </c>
      <c r="T46" s="207">
        <v>30</v>
      </c>
      <c r="U46" s="82" t="s">
        <v>11</v>
      </c>
      <c r="V46" s="212" t="s">
        <v>11</v>
      </c>
      <c r="W46" s="212" t="s">
        <v>19</v>
      </c>
      <c r="X46" s="209">
        <v>670462</v>
      </c>
      <c r="Y46" s="213" t="s">
        <v>735</v>
      </c>
      <c r="Z46" s="209">
        <v>30</v>
      </c>
      <c r="AA46" s="209">
        <v>670462</v>
      </c>
      <c r="AB46" s="209">
        <v>670462</v>
      </c>
      <c r="AC46" s="178" t="str">
        <f>IF(OR(M46="13",M46="14",P46=8),"",IF(AND(OR(S46="AUTORIZADO", S46="PENDIENTE", S46="REDUCIDO", S46="AMPLIADO"),L46&lt;&gt;"HONORARIO" ), CONCATENATE(IF(H46="X","H",H46),"_",IF(OR(P46=5,P46=6),_xlfn.CONCAT(P46,"A"),P46),"_",VLOOKUP(T46,Datos!$B$2:$C$5,2,TRUE)),""))</f>
        <v>M_1_[11 +]</v>
      </c>
      <c r="AD46" s="178">
        <f t="shared" si="0"/>
        <v>1340924</v>
      </c>
      <c r="AE46" s="82" t="str">
        <f t="shared" si="1"/>
        <v>-</v>
      </c>
      <c r="AF46" s="83" t="str">
        <f t="shared" si="2"/>
        <v>070601</v>
      </c>
      <c r="AG46" s="84"/>
      <c r="AH46" s="85" t="str">
        <f t="shared" si="3"/>
        <v>Corporación de Fomento de la Producción</v>
      </c>
      <c r="AI46" s="82" t="str">
        <f t="shared" si="4"/>
        <v>-</v>
      </c>
      <c r="AJ46" s="82">
        <f t="shared" si="5"/>
        <v>2</v>
      </c>
      <c r="AK46" s="82" t="str">
        <f t="shared" si="6"/>
        <v>-</v>
      </c>
      <c r="AL46" s="82" t="str">
        <f t="shared" si="7"/>
        <v>Identifica este registro como MUJER</v>
      </c>
      <c r="AM46" s="82" t="str">
        <f t="shared" si="8"/>
        <v>-</v>
      </c>
      <c r="AN46" s="82" t="str">
        <f t="shared" si="9"/>
        <v>-</v>
      </c>
      <c r="AO46" s="82" t="str">
        <f t="shared" si="10"/>
        <v>-</v>
      </c>
      <c r="AP46" s="57" t="str">
        <f t="shared" si="11"/>
        <v>-</v>
      </c>
      <c r="AQ46" s="86" t="str">
        <f t="shared" si="12"/>
        <v>-</v>
      </c>
      <c r="AR46" s="86" t="str">
        <f>IF(N46="","PRIMER_DIA en blanco",
IF(AND(M46="01",N46&gt;=L_Conversion!$C$118,N46&lt;=L_Conversion!$D$118),"-",
IF(AND(M46="02",N46&gt;=L_Conversion!$C$119,N46&lt;=L_Conversion!$D$119),"-",
IF(AND(M46="03",N46&gt;=L_Conversion!$C$120,N46&lt;=L_Conversion!$D$120),"-",
IF(AND(M46="04",N46&gt;=L_Conversion!$C$121,N46&lt;=L_Conversion!$D$121),"-",
IF(AND(M46="05",N46&gt;=L_Conversion!$C$122,N46&lt;=L_Conversion!$D$122),"-",
IF(AND(M46="06",N46&gt;=L_Conversion!$C$123,N46&lt;=L_Conversion!$D$123),"-",
IF(AND(M46="07",N46&gt;=L_Conversion!$C$124,N46&lt;=L_Conversion!$D$124),"-",
IF(AND(M46="08",N46&gt;=L_Conversion!$C$125,N46&lt;=L_Conversion!$D$125),"-",
IF(AND(M46="09",N46&gt;=L_Conversion!$C$126,N46&lt;=L_Conversion!$D$126),"-",
IF(AND(M46="10",N46&gt;=L_Conversion!$C$127,N46&lt;=L_Conversion!$D$127),"-",
IF(AND(M46="11",N46&gt;=L_Conversion!$C$128,N46&lt;=L_Conversion!$D$128),"-",
IF(AND(M46="12",N46&gt;=L_Conversion!$C$129,N46&lt;=L_Conversion!$D$129),"-",
IF(AND(M46="13",N46&gt;=L_Conversion!$C$116,N46&lt;=L_Conversion!$D$116),"-",
IF(AND(M46="14",N46&gt;=L_Conversion!$C$117,N46&lt;=L_Conversion!$D$117),"-",
"PRIMER_DIA fuera de rango")))))))))))))))</f>
        <v>-</v>
      </c>
      <c r="AS46" s="86" t="str">
        <f t="shared" si="13"/>
        <v>-</v>
      </c>
      <c r="AT46" s="86" t="str">
        <f t="shared" si="14"/>
        <v>-</v>
      </c>
      <c r="AU46" s="86" t="str">
        <f t="shared" si="15"/>
        <v>-</v>
      </c>
      <c r="AV46" s="86" t="str">
        <f t="shared" si="16"/>
        <v>-</v>
      </c>
      <c r="AW46" s="86" t="str">
        <f t="shared" si="17"/>
        <v>-</v>
      </c>
      <c r="AX46" s="86" t="str">
        <f t="shared" si="18"/>
        <v>-</v>
      </c>
      <c r="AY46" s="86" t="str">
        <f t="shared" si="19"/>
        <v>-</v>
      </c>
      <c r="AZ46" s="86" t="str">
        <f t="shared" si="20"/>
        <v>-</v>
      </c>
      <c r="BA46" s="86" t="str">
        <f t="shared" si="21"/>
        <v>-</v>
      </c>
      <c r="BB46" s="86" t="str">
        <f t="shared" si="22"/>
        <v>-</v>
      </c>
      <c r="BC46" s="86" t="str">
        <f t="shared" si="23"/>
        <v>-</v>
      </c>
      <c r="BD46" s="86" t="str">
        <f t="shared" si="24"/>
        <v>-</v>
      </c>
      <c r="BE46" s="86" t="str">
        <f t="shared" si="25"/>
        <v>-</v>
      </c>
      <c r="BF46" s="86" t="str">
        <f t="shared" si="26"/>
        <v>-</v>
      </c>
    </row>
    <row r="47" spans="1:58" x14ac:dyDescent="0.2">
      <c r="A47" s="80" t="s">
        <v>1144</v>
      </c>
      <c r="B47" s="92" t="s">
        <v>76</v>
      </c>
      <c r="C47" s="202">
        <v>10122155</v>
      </c>
      <c r="D47" s="203">
        <v>5</v>
      </c>
      <c r="E47" s="204" t="s">
        <v>1237</v>
      </c>
      <c r="F47" s="204" t="s">
        <v>1156</v>
      </c>
      <c r="G47" s="204" t="s">
        <v>1238</v>
      </c>
      <c r="H47" s="205" t="s">
        <v>1033</v>
      </c>
      <c r="I47" s="205" t="s">
        <v>662</v>
      </c>
      <c r="J47" s="203">
        <v>80</v>
      </c>
      <c r="K47" s="204" t="s">
        <v>563</v>
      </c>
      <c r="L47" s="206" t="s">
        <v>502</v>
      </c>
      <c r="M47" s="210" t="s">
        <v>18</v>
      </c>
      <c r="N47" s="211">
        <v>45670</v>
      </c>
      <c r="O47" s="207">
        <v>7</v>
      </c>
      <c r="P47" s="203">
        <v>1</v>
      </c>
      <c r="Q47" s="205" t="s">
        <v>23</v>
      </c>
      <c r="R47" s="205" t="s">
        <v>11</v>
      </c>
      <c r="S47" s="205" t="s">
        <v>23</v>
      </c>
      <c r="T47" s="207">
        <v>7</v>
      </c>
      <c r="U47" s="208" t="s">
        <v>11</v>
      </c>
      <c r="V47" s="212" t="s">
        <v>11</v>
      </c>
      <c r="W47" s="212" t="s">
        <v>19</v>
      </c>
      <c r="X47" s="209">
        <v>276719</v>
      </c>
      <c r="Y47" s="213" t="s">
        <v>735</v>
      </c>
      <c r="Z47" s="209">
        <v>7</v>
      </c>
      <c r="AA47" s="209">
        <v>276719</v>
      </c>
      <c r="AB47" s="209">
        <v>276719</v>
      </c>
      <c r="AC47" s="178" t="str">
        <f>IF(OR(M47="13",M47="14",P47=8),"",IF(AND(OR(S47="AUTORIZADO", S47="PENDIENTE", S47="REDUCIDO", S47="AMPLIADO"),L47&lt;&gt;"HONORARIO" ), CONCATENATE(IF(H47="X","H",H47),"_",IF(OR(P47=5,P47=6),_xlfn.CONCAT(P47,"A"),P47),"_",VLOOKUP(T47,Datos!$B$2:$C$5,2,TRUE)),""))</f>
        <v>M_1_[4 a 10]</v>
      </c>
      <c r="AD47" s="178">
        <f t="shared" si="0"/>
        <v>553438</v>
      </c>
      <c r="AE47" s="82" t="str">
        <f t="shared" si="1"/>
        <v>-</v>
      </c>
      <c r="AF47" s="83" t="str">
        <f t="shared" si="2"/>
        <v>070601</v>
      </c>
      <c r="AG47" s="84"/>
      <c r="AH47" s="85" t="str">
        <f t="shared" si="3"/>
        <v>Corporación de Fomento de la Producción</v>
      </c>
      <c r="AI47" s="82" t="str">
        <f t="shared" si="4"/>
        <v>-</v>
      </c>
      <c r="AJ47" s="82">
        <f t="shared" si="5"/>
        <v>5</v>
      </c>
      <c r="AK47" s="82" t="str">
        <f t="shared" si="6"/>
        <v>-</v>
      </c>
      <c r="AL47" s="82" t="str">
        <f t="shared" si="7"/>
        <v>Identifica este registro como MUJER</v>
      </c>
      <c r="AM47" s="82" t="str">
        <f t="shared" si="8"/>
        <v>-</v>
      </c>
      <c r="AN47" s="82" t="str">
        <f t="shared" si="9"/>
        <v>-</v>
      </c>
      <c r="AO47" s="82" t="str">
        <f t="shared" si="10"/>
        <v>-</v>
      </c>
      <c r="AP47" s="57" t="str">
        <f t="shared" si="11"/>
        <v>-</v>
      </c>
      <c r="AQ47" s="86" t="str">
        <f t="shared" si="12"/>
        <v>-</v>
      </c>
      <c r="AR47" s="86" t="str">
        <f>IF(N47="","PRIMER_DIA en blanco",
IF(AND(M47="01",N47&gt;=L_Conversion!$C$118,N47&lt;=L_Conversion!$D$118),"-",
IF(AND(M47="02",N47&gt;=L_Conversion!$C$119,N47&lt;=L_Conversion!$D$119),"-",
IF(AND(M47="03",N47&gt;=L_Conversion!$C$120,N47&lt;=L_Conversion!$D$120),"-",
IF(AND(M47="04",N47&gt;=L_Conversion!$C$121,N47&lt;=L_Conversion!$D$121),"-",
IF(AND(M47="05",N47&gt;=L_Conversion!$C$122,N47&lt;=L_Conversion!$D$122),"-",
IF(AND(M47="06",N47&gt;=L_Conversion!$C$123,N47&lt;=L_Conversion!$D$123),"-",
IF(AND(M47="07",N47&gt;=L_Conversion!$C$124,N47&lt;=L_Conversion!$D$124),"-",
IF(AND(M47="08",N47&gt;=L_Conversion!$C$125,N47&lt;=L_Conversion!$D$125),"-",
IF(AND(M47="09",N47&gt;=L_Conversion!$C$126,N47&lt;=L_Conversion!$D$126),"-",
IF(AND(M47="10",N47&gt;=L_Conversion!$C$127,N47&lt;=L_Conversion!$D$127),"-",
IF(AND(M47="11",N47&gt;=L_Conversion!$C$128,N47&lt;=L_Conversion!$D$128),"-",
IF(AND(M47="12",N47&gt;=L_Conversion!$C$129,N47&lt;=L_Conversion!$D$129),"-",
IF(AND(M47="13",N47&gt;=L_Conversion!$C$116,N47&lt;=L_Conversion!$D$116),"-",
IF(AND(M47="14",N47&gt;=L_Conversion!$C$117,N47&lt;=L_Conversion!$D$117),"-",
"PRIMER_DIA fuera de rango")))))))))))))))</f>
        <v>-</v>
      </c>
      <c r="AS47" s="86" t="str">
        <f t="shared" si="13"/>
        <v>-</v>
      </c>
      <c r="AT47" s="86" t="str">
        <f t="shared" si="14"/>
        <v>-</v>
      </c>
      <c r="AU47" s="86" t="str">
        <f t="shared" si="15"/>
        <v>-</v>
      </c>
      <c r="AV47" s="86" t="str">
        <f t="shared" si="16"/>
        <v>-</v>
      </c>
      <c r="AW47" s="86" t="str">
        <f t="shared" si="17"/>
        <v>-</v>
      </c>
      <c r="AX47" s="86" t="str">
        <f t="shared" si="18"/>
        <v>-</v>
      </c>
      <c r="AY47" s="86" t="str">
        <f t="shared" si="19"/>
        <v>-</v>
      </c>
      <c r="AZ47" s="86" t="str">
        <f t="shared" si="20"/>
        <v>-</v>
      </c>
      <c r="BA47" s="86" t="str">
        <f t="shared" si="21"/>
        <v>-</v>
      </c>
      <c r="BB47" s="86" t="str">
        <f t="shared" si="22"/>
        <v>-</v>
      </c>
      <c r="BC47" s="86" t="str">
        <f t="shared" si="23"/>
        <v>-</v>
      </c>
      <c r="BD47" s="86" t="str">
        <f t="shared" si="24"/>
        <v>-</v>
      </c>
      <c r="BE47" s="86" t="str">
        <f t="shared" si="25"/>
        <v>-</v>
      </c>
      <c r="BF47" s="86" t="str">
        <f t="shared" si="26"/>
        <v>-</v>
      </c>
    </row>
    <row r="48" spans="1:58" x14ac:dyDescent="0.2">
      <c r="A48" s="80" t="s">
        <v>1144</v>
      </c>
      <c r="B48" s="92" t="s">
        <v>76</v>
      </c>
      <c r="C48" s="202">
        <v>13664283</v>
      </c>
      <c r="D48" s="203">
        <v>9</v>
      </c>
      <c r="E48" s="204" t="s">
        <v>1298</v>
      </c>
      <c r="F48" s="204" t="s">
        <v>1177</v>
      </c>
      <c r="G48" s="204" t="s">
        <v>1299</v>
      </c>
      <c r="H48" s="205" t="s">
        <v>1033</v>
      </c>
      <c r="I48" s="205" t="s">
        <v>662</v>
      </c>
      <c r="J48" s="203">
        <v>80</v>
      </c>
      <c r="K48" s="204" t="s">
        <v>563</v>
      </c>
      <c r="L48" s="206" t="s">
        <v>502</v>
      </c>
      <c r="M48" s="210" t="s">
        <v>18</v>
      </c>
      <c r="N48" s="211">
        <v>45670</v>
      </c>
      <c r="O48" s="207">
        <v>2</v>
      </c>
      <c r="P48" s="203">
        <v>1</v>
      </c>
      <c r="Q48" s="205" t="s">
        <v>23</v>
      </c>
      <c r="R48" s="205" t="s">
        <v>11</v>
      </c>
      <c r="S48" s="205" t="s">
        <v>23</v>
      </c>
      <c r="T48" s="207">
        <v>2</v>
      </c>
      <c r="U48" s="208" t="s">
        <v>11</v>
      </c>
      <c r="V48" s="212" t="s">
        <v>19</v>
      </c>
      <c r="W48" s="212" t="s">
        <v>19</v>
      </c>
      <c r="X48" s="209">
        <v>48166</v>
      </c>
      <c r="Y48" s="213" t="s">
        <v>735</v>
      </c>
      <c r="Z48" s="209">
        <v>2</v>
      </c>
      <c r="AA48" s="209">
        <v>48166</v>
      </c>
      <c r="AB48" s="209">
        <v>48166</v>
      </c>
      <c r="AC48" s="178" t="str">
        <f>IF(OR(M48="13",M48="14",P48=8),"",IF(AND(OR(S48="AUTORIZADO", S48="PENDIENTE", S48="REDUCIDO", S48="AMPLIADO"),L48&lt;&gt;"HONORARIO" ), CONCATENATE(IF(H48="X","H",H48),"_",IF(OR(P48=5,P48=6),_xlfn.CONCAT(P48,"A"),P48),"_",VLOOKUP(T48,Datos!$B$2:$C$5,2,TRUE)),""))</f>
        <v>M_1_[hasta 3]</v>
      </c>
      <c r="AD48" s="178">
        <f t="shared" si="0"/>
        <v>96332</v>
      </c>
      <c r="AE48" s="82" t="str">
        <f t="shared" si="1"/>
        <v>-</v>
      </c>
      <c r="AF48" s="83" t="str">
        <f t="shared" si="2"/>
        <v>070601</v>
      </c>
      <c r="AG48" s="84"/>
      <c r="AH48" s="85" t="str">
        <f t="shared" si="3"/>
        <v>Corporación de Fomento de la Producción</v>
      </c>
      <c r="AI48" s="82" t="str">
        <f t="shared" si="4"/>
        <v>-</v>
      </c>
      <c r="AJ48" s="82">
        <f t="shared" si="5"/>
        <v>9</v>
      </c>
      <c r="AK48" s="82" t="str">
        <f t="shared" si="6"/>
        <v>-</v>
      </c>
      <c r="AL48" s="82" t="str">
        <f t="shared" si="7"/>
        <v>Identifica este registro como MUJER</v>
      </c>
      <c r="AM48" s="82" t="str">
        <f t="shared" si="8"/>
        <v>-</v>
      </c>
      <c r="AN48" s="82" t="str">
        <f t="shared" si="9"/>
        <v>-</v>
      </c>
      <c r="AO48" s="82" t="str">
        <f t="shared" si="10"/>
        <v>-</v>
      </c>
      <c r="AP48" s="57" t="str">
        <f t="shared" si="11"/>
        <v>-</v>
      </c>
      <c r="AQ48" s="86" t="str">
        <f t="shared" si="12"/>
        <v>-</v>
      </c>
      <c r="AR48" s="86" t="str">
        <f>IF(N48="","PRIMER_DIA en blanco",
IF(AND(M48="01",N48&gt;=L_Conversion!$C$118,N48&lt;=L_Conversion!$D$118),"-",
IF(AND(M48="02",N48&gt;=L_Conversion!$C$119,N48&lt;=L_Conversion!$D$119),"-",
IF(AND(M48="03",N48&gt;=L_Conversion!$C$120,N48&lt;=L_Conversion!$D$120),"-",
IF(AND(M48="04",N48&gt;=L_Conversion!$C$121,N48&lt;=L_Conversion!$D$121),"-",
IF(AND(M48="05",N48&gt;=L_Conversion!$C$122,N48&lt;=L_Conversion!$D$122),"-",
IF(AND(M48="06",N48&gt;=L_Conversion!$C$123,N48&lt;=L_Conversion!$D$123),"-",
IF(AND(M48="07",N48&gt;=L_Conversion!$C$124,N48&lt;=L_Conversion!$D$124),"-",
IF(AND(M48="08",N48&gt;=L_Conversion!$C$125,N48&lt;=L_Conversion!$D$125),"-",
IF(AND(M48="09",N48&gt;=L_Conversion!$C$126,N48&lt;=L_Conversion!$D$126),"-",
IF(AND(M48="10",N48&gt;=L_Conversion!$C$127,N48&lt;=L_Conversion!$D$127),"-",
IF(AND(M48="11",N48&gt;=L_Conversion!$C$128,N48&lt;=L_Conversion!$D$128),"-",
IF(AND(M48="12",N48&gt;=L_Conversion!$C$129,N48&lt;=L_Conversion!$D$129),"-",
IF(AND(M48="13",N48&gt;=L_Conversion!$C$116,N48&lt;=L_Conversion!$D$116),"-",
IF(AND(M48="14",N48&gt;=L_Conversion!$C$117,N48&lt;=L_Conversion!$D$117),"-",
"PRIMER_DIA fuera de rango")))))))))))))))</f>
        <v>-</v>
      </c>
      <c r="AS48" s="86" t="str">
        <f t="shared" si="13"/>
        <v>-</v>
      </c>
      <c r="AT48" s="86" t="str">
        <f t="shared" si="14"/>
        <v>-</v>
      </c>
      <c r="AU48" s="86" t="str">
        <f t="shared" si="15"/>
        <v>-</v>
      </c>
      <c r="AV48" s="86" t="str">
        <f t="shared" si="16"/>
        <v>-</v>
      </c>
      <c r="AW48" s="86" t="str">
        <f t="shared" si="17"/>
        <v>-</v>
      </c>
      <c r="AX48" s="86" t="str">
        <f t="shared" si="18"/>
        <v>-</v>
      </c>
      <c r="AY48" s="86" t="str">
        <f t="shared" si="19"/>
        <v>-</v>
      </c>
      <c r="AZ48" s="86" t="str">
        <f t="shared" si="20"/>
        <v>-</v>
      </c>
      <c r="BA48" s="86" t="str">
        <f t="shared" si="21"/>
        <v>-</v>
      </c>
      <c r="BB48" s="86" t="str">
        <f t="shared" si="22"/>
        <v>-</v>
      </c>
      <c r="BC48" s="86" t="str">
        <f t="shared" si="23"/>
        <v>-</v>
      </c>
      <c r="BD48" s="86" t="str">
        <f t="shared" si="24"/>
        <v>-</v>
      </c>
      <c r="BE48" s="86" t="str">
        <f t="shared" si="25"/>
        <v>-</v>
      </c>
      <c r="BF48" s="86" t="str">
        <f t="shared" si="26"/>
        <v>-</v>
      </c>
    </row>
    <row r="49" spans="1:58" x14ac:dyDescent="0.2">
      <c r="A49" s="80" t="s">
        <v>1144</v>
      </c>
      <c r="B49" s="92" t="s">
        <v>76</v>
      </c>
      <c r="C49" s="202">
        <v>17699624</v>
      </c>
      <c r="D49" s="203">
        <v>2</v>
      </c>
      <c r="E49" s="204" t="s">
        <v>1282</v>
      </c>
      <c r="F49" s="204" t="s">
        <v>1283</v>
      </c>
      <c r="G49" s="204" t="s">
        <v>1284</v>
      </c>
      <c r="H49" s="205" t="s">
        <v>1033</v>
      </c>
      <c r="I49" s="205" t="s">
        <v>662</v>
      </c>
      <c r="J49" s="203">
        <v>80</v>
      </c>
      <c r="K49" s="204" t="s">
        <v>563</v>
      </c>
      <c r="L49" s="206" t="s">
        <v>502</v>
      </c>
      <c r="M49" s="210" t="s">
        <v>18</v>
      </c>
      <c r="N49" s="211">
        <v>45670</v>
      </c>
      <c r="O49" s="207">
        <v>1</v>
      </c>
      <c r="P49" s="203">
        <v>1</v>
      </c>
      <c r="Q49" s="205" t="s">
        <v>23</v>
      </c>
      <c r="R49" s="205" t="s">
        <v>11</v>
      </c>
      <c r="S49" s="205" t="s">
        <v>23</v>
      </c>
      <c r="T49" s="207">
        <v>1</v>
      </c>
      <c r="U49" s="208" t="s">
        <v>11</v>
      </c>
      <c r="V49" s="212" t="s">
        <v>19</v>
      </c>
      <c r="W49" s="212" t="s">
        <v>19</v>
      </c>
      <c r="X49" s="209">
        <v>13817</v>
      </c>
      <c r="Y49" s="213" t="s">
        <v>735</v>
      </c>
      <c r="Z49" s="209">
        <v>1</v>
      </c>
      <c r="AA49" s="209">
        <v>13817</v>
      </c>
      <c r="AB49" s="209">
        <v>13817</v>
      </c>
      <c r="AC49" s="178" t="str">
        <f>IF(OR(M49="13",M49="14",P49=8),"",IF(AND(OR(S49="AUTORIZADO", S49="PENDIENTE", S49="REDUCIDO", S49="AMPLIADO"),L49&lt;&gt;"HONORARIO" ), CONCATENATE(IF(H49="X","H",H49),"_",IF(OR(P49=5,P49=6),_xlfn.CONCAT(P49,"A"),P49),"_",VLOOKUP(T49,Datos!$B$2:$C$5,2,TRUE)),""))</f>
        <v>M_1_[hasta 3]</v>
      </c>
      <c r="AD49" s="178">
        <f t="shared" si="0"/>
        <v>27634</v>
      </c>
      <c r="AE49" s="82" t="str">
        <f t="shared" si="1"/>
        <v>-</v>
      </c>
      <c r="AF49" s="83" t="str">
        <f t="shared" si="2"/>
        <v>070601</v>
      </c>
      <c r="AG49" s="84"/>
      <c r="AH49" s="85" t="str">
        <f t="shared" si="3"/>
        <v>Corporación de Fomento de la Producción</v>
      </c>
      <c r="AI49" s="82" t="str">
        <f t="shared" si="4"/>
        <v>-</v>
      </c>
      <c r="AJ49" s="82">
        <f t="shared" si="5"/>
        <v>2</v>
      </c>
      <c r="AK49" s="82" t="str">
        <f t="shared" si="6"/>
        <v>-</v>
      </c>
      <c r="AL49" s="82" t="str">
        <f t="shared" si="7"/>
        <v>Identifica este registro como MUJER</v>
      </c>
      <c r="AM49" s="82" t="str">
        <f t="shared" si="8"/>
        <v>-</v>
      </c>
      <c r="AN49" s="82" t="str">
        <f t="shared" si="9"/>
        <v>-</v>
      </c>
      <c r="AO49" s="82" t="str">
        <f t="shared" si="10"/>
        <v>-</v>
      </c>
      <c r="AP49" s="57" t="str">
        <f t="shared" si="11"/>
        <v>-</v>
      </c>
      <c r="AQ49" s="86" t="str">
        <f t="shared" si="12"/>
        <v>-</v>
      </c>
      <c r="AR49" s="86" t="str">
        <f>IF(N49="","PRIMER_DIA en blanco",
IF(AND(M49="01",N49&gt;=L_Conversion!$C$118,N49&lt;=L_Conversion!$D$118),"-",
IF(AND(M49="02",N49&gt;=L_Conversion!$C$119,N49&lt;=L_Conversion!$D$119),"-",
IF(AND(M49="03",N49&gt;=L_Conversion!$C$120,N49&lt;=L_Conversion!$D$120),"-",
IF(AND(M49="04",N49&gt;=L_Conversion!$C$121,N49&lt;=L_Conversion!$D$121),"-",
IF(AND(M49="05",N49&gt;=L_Conversion!$C$122,N49&lt;=L_Conversion!$D$122),"-",
IF(AND(M49="06",N49&gt;=L_Conversion!$C$123,N49&lt;=L_Conversion!$D$123),"-",
IF(AND(M49="07",N49&gt;=L_Conversion!$C$124,N49&lt;=L_Conversion!$D$124),"-",
IF(AND(M49="08",N49&gt;=L_Conversion!$C$125,N49&lt;=L_Conversion!$D$125),"-",
IF(AND(M49="09",N49&gt;=L_Conversion!$C$126,N49&lt;=L_Conversion!$D$126),"-",
IF(AND(M49="10",N49&gt;=L_Conversion!$C$127,N49&lt;=L_Conversion!$D$127),"-",
IF(AND(M49="11",N49&gt;=L_Conversion!$C$128,N49&lt;=L_Conversion!$D$128),"-",
IF(AND(M49="12",N49&gt;=L_Conversion!$C$129,N49&lt;=L_Conversion!$D$129),"-",
IF(AND(M49="13",N49&gt;=L_Conversion!$C$116,N49&lt;=L_Conversion!$D$116),"-",
IF(AND(M49="14",N49&gt;=L_Conversion!$C$117,N49&lt;=L_Conversion!$D$117),"-",
"PRIMER_DIA fuera de rango")))))))))))))))</f>
        <v>-</v>
      </c>
      <c r="AS49" s="86" t="str">
        <f t="shared" si="13"/>
        <v>-</v>
      </c>
      <c r="AT49" s="86" t="str">
        <f t="shared" si="14"/>
        <v>-</v>
      </c>
      <c r="AU49" s="86" t="str">
        <f t="shared" si="15"/>
        <v>-</v>
      </c>
      <c r="AV49" s="86" t="str">
        <f t="shared" si="16"/>
        <v>-</v>
      </c>
      <c r="AW49" s="86" t="str">
        <f t="shared" si="17"/>
        <v>-</v>
      </c>
      <c r="AX49" s="86" t="str">
        <f t="shared" si="18"/>
        <v>-</v>
      </c>
      <c r="AY49" s="86" t="str">
        <f t="shared" si="19"/>
        <v>-</v>
      </c>
      <c r="AZ49" s="86" t="str">
        <f t="shared" si="20"/>
        <v>-</v>
      </c>
      <c r="BA49" s="86" t="str">
        <f t="shared" si="21"/>
        <v>-</v>
      </c>
      <c r="BB49" s="86" t="str">
        <f t="shared" si="22"/>
        <v>-</v>
      </c>
      <c r="BC49" s="86" t="str">
        <f t="shared" si="23"/>
        <v>-</v>
      </c>
      <c r="BD49" s="86" t="str">
        <f t="shared" si="24"/>
        <v>-</v>
      </c>
      <c r="BE49" s="86" t="str">
        <f t="shared" si="25"/>
        <v>-</v>
      </c>
      <c r="BF49" s="86" t="str">
        <f t="shared" si="26"/>
        <v>-</v>
      </c>
    </row>
    <row r="50" spans="1:58" x14ac:dyDescent="0.2">
      <c r="A50" s="80" t="s">
        <v>1144</v>
      </c>
      <c r="B50" s="92" t="s">
        <v>76</v>
      </c>
      <c r="C50" s="202">
        <v>18593678</v>
      </c>
      <c r="D50" s="203">
        <v>3</v>
      </c>
      <c r="E50" s="204" t="s">
        <v>1300</v>
      </c>
      <c r="F50" s="204" t="s">
        <v>1301</v>
      </c>
      <c r="G50" s="204" t="s">
        <v>1302</v>
      </c>
      <c r="H50" s="205" t="s">
        <v>663</v>
      </c>
      <c r="I50" s="205" t="s">
        <v>663</v>
      </c>
      <c r="J50" s="203">
        <v>80</v>
      </c>
      <c r="K50" s="204" t="s">
        <v>563</v>
      </c>
      <c r="L50" s="206" t="s">
        <v>516</v>
      </c>
      <c r="M50" s="210" t="s">
        <v>18</v>
      </c>
      <c r="N50" s="211">
        <v>45670</v>
      </c>
      <c r="O50" s="207">
        <v>3</v>
      </c>
      <c r="P50" s="203">
        <v>1</v>
      </c>
      <c r="Q50" s="205" t="s">
        <v>23</v>
      </c>
      <c r="R50" s="205" t="s">
        <v>11</v>
      </c>
      <c r="S50" s="205" t="s">
        <v>23</v>
      </c>
      <c r="T50" s="207">
        <v>3</v>
      </c>
      <c r="U50" s="208" t="s">
        <v>11</v>
      </c>
      <c r="V50" s="212" t="s">
        <v>19</v>
      </c>
      <c r="W50" s="212" t="s">
        <v>19</v>
      </c>
      <c r="X50" s="209">
        <v>61013</v>
      </c>
      <c r="Y50" s="213" t="s">
        <v>735</v>
      </c>
      <c r="Z50" s="209">
        <v>3</v>
      </c>
      <c r="AA50" s="209">
        <v>61013</v>
      </c>
      <c r="AB50" s="209">
        <v>61013</v>
      </c>
      <c r="AC50" s="178" t="str">
        <f>IF(OR(M50="13",M50="14",P50=8),"",IF(AND(OR(S50="AUTORIZADO", S50="PENDIENTE", S50="REDUCIDO", S50="AMPLIADO"),L50&lt;&gt;"HONORARIO" ), CONCATENATE(IF(H50="X","H",H50),"_",IF(OR(P50=5,P50=6),_xlfn.CONCAT(P50,"A"),P50),"_",VLOOKUP(T50,Datos!$B$2:$C$5,2,TRUE)),""))</f>
        <v>H_1_[hasta 3]</v>
      </c>
      <c r="AD50" s="178">
        <f t="shared" si="0"/>
        <v>122026</v>
      </c>
      <c r="AE50" s="82" t="str">
        <f t="shared" si="1"/>
        <v>-</v>
      </c>
      <c r="AF50" s="83" t="str">
        <f t="shared" si="2"/>
        <v>070601</v>
      </c>
      <c r="AG50" s="84"/>
      <c r="AH50" s="85" t="str">
        <f t="shared" si="3"/>
        <v>Corporación de Fomento de la Producción</v>
      </c>
      <c r="AI50" s="82" t="str">
        <f t="shared" si="4"/>
        <v>-</v>
      </c>
      <c r="AJ50" s="82">
        <f t="shared" si="5"/>
        <v>3</v>
      </c>
      <c r="AK50" s="82" t="str">
        <f t="shared" si="6"/>
        <v>-</v>
      </c>
      <c r="AL50" s="82" t="str">
        <f t="shared" si="7"/>
        <v>Identifica este registro como HOMBRE</v>
      </c>
      <c r="AM50" s="82" t="str">
        <f t="shared" si="8"/>
        <v>-</v>
      </c>
      <c r="AN50" s="82" t="str">
        <f t="shared" si="9"/>
        <v>-</v>
      </c>
      <c r="AO50" s="82" t="str">
        <f t="shared" si="10"/>
        <v>-</v>
      </c>
      <c r="AP50" s="57" t="str">
        <f t="shared" si="11"/>
        <v>-</v>
      </c>
      <c r="AQ50" s="86" t="str">
        <f t="shared" si="12"/>
        <v>-</v>
      </c>
      <c r="AR50" s="86" t="str">
        <f>IF(N50="","PRIMER_DIA en blanco",
IF(AND(M50="01",N50&gt;=L_Conversion!$C$118,N50&lt;=L_Conversion!$D$118),"-",
IF(AND(M50="02",N50&gt;=L_Conversion!$C$119,N50&lt;=L_Conversion!$D$119),"-",
IF(AND(M50="03",N50&gt;=L_Conversion!$C$120,N50&lt;=L_Conversion!$D$120),"-",
IF(AND(M50="04",N50&gt;=L_Conversion!$C$121,N50&lt;=L_Conversion!$D$121),"-",
IF(AND(M50="05",N50&gt;=L_Conversion!$C$122,N50&lt;=L_Conversion!$D$122),"-",
IF(AND(M50="06",N50&gt;=L_Conversion!$C$123,N50&lt;=L_Conversion!$D$123),"-",
IF(AND(M50="07",N50&gt;=L_Conversion!$C$124,N50&lt;=L_Conversion!$D$124),"-",
IF(AND(M50="08",N50&gt;=L_Conversion!$C$125,N50&lt;=L_Conversion!$D$125),"-",
IF(AND(M50="09",N50&gt;=L_Conversion!$C$126,N50&lt;=L_Conversion!$D$126),"-",
IF(AND(M50="10",N50&gt;=L_Conversion!$C$127,N50&lt;=L_Conversion!$D$127),"-",
IF(AND(M50="11",N50&gt;=L_Conversion!$C$128,N50&lt;=L_Conversion!$D$128),"-",
IF(AND(M50="12",N50&gt;=L_Conversion!$C$129,N50&lt;=L_Conversion!$D$129),"-",
IF(AND(M50="13",N50&gt;=L_Conversion!$C$116,N50&lt;=L_Conversion!$D$116),"-",
IF(AND(M50="14",N50&gt;=L_Conversion!$C$117,N50&lt;=L_Conversion!$D$117),"-",
"PRIMER_DIA fuera de rango")))))))))))))))</f>
        <v>-</v>
      </c>
      <c r="AS50" s="86" t="str">
        <f t="shared" si="13"/>
        <v>-</v>
      </c>
      <c r="AT50" s="86" t="str">
        <f t="shared" si="14"/>
        <v>-</v>
      </c>
      <c r="AU50" s="86" t="str">
        <f t="shared" si="15"/>
        <v>-</v>
      </c>
      <c r="AV50" s="86" t="str">
        <f t="shared" si="16"/>
        <v>-</v>
      </c>
      <c r="AW50" s="86" t="str">
        <f t="shared" si="17"/>
        <v>-</v>
      </c>
      <c r="AX50" s="86" t="str">
        <f t="shared" si="18"/>
        <v>-</v>
      </c>
      <c r="AY50" s="86" t="str">
        <f t="shared" si="19"/>
        <v>-</v>
      </c>
      <c r="AZ50" s="86" t="str">
        <f t="shared" si="20"/>
        <v>-</v>
      </c>
      <c r="BA50" s="86" t="str">
        <f t="shared" si="21"/>
        <v>-</v>
      </c>
      <c r="BB50" s="86" t="str">
        <f t="shared" si="22"/>
        <v>-</v>
      </c>
      <c r="BC50" s="86" t="str">
        <f t="shared" si="23"/>
        <v>-</v>
      </c>
      <c r="BD50" s="86" t="str">
        <f t="shared" si="24"/>
        <v>-</v>
      </c>
      <c r="BE50" s="86" t="str">
        <f t="shared" si="25"/>
        <v>-</v>
      </c>
      <c r="BF50" s="86" t="str">
        <f t="shared" si="26"/>
        <v>-</v>
      </c>
    </row>
    <row r="51" spans="1:58" x14ac:dyDescent="0.2">
      <c r="A51" s="80" t="s">
        <v>1144</v>
      </c>
      <c r="B51" s="92" t="s">
        <v>76</v>
      </c>
      <c r="C51" s="202">
        <v>12800998</v>
      </c>
      <c r="D51" s="203">
        <v>1</v>
      </c>
      <c r="E51" s="204" t="s">
        <v>1303</v>
      </c>
      <c r="F51" s="204" t="s">
        <v>1304</v>
      </c>
      <c r="G51" s="204" t="s">
        <v>1290</v>
      </c>
      <c r="H51" s="205" t="s">
        <v>1033</v>
      </c>
      <c r="I51" s="205" t="s">
        <v>662</v>
      </c>
      <c r="J51" s="203">
        <v>80</v>
      </c>
      <c r="K51" s="204" t="s">
        <v>563</v>
      </c>
      <c r="L51" s="206" t="s">
        <v>502</v>
      </c>
      <c r="M51" s="210" t="s">
        <v>18</v>
      </c>
      <c r="N51" s="211">
        <v>45670</v>
      </c>
      <c r="O51" s="207">
        <v>1</v>
      </c>
      <c r="P51" s="203">
        <v>1</v>
      </c>
      <c r="Q51" s="205" t="s">
        <v>23</v>
      </c>
      <c r="R51" s="205" t="s">
        <v>11</v>
      </c>
      <c r="S51" s="205" t="s">
        <v>23</v>
      </c>
      <c r="T51" s="207">
        <v>1</v>
      </c>
      <c r="U51" s="208" t="s">
        <v>11</v>
      </c>
      <c r="V51" s="212" t="s">
        <v>19</v>
      </c>
      <c r="W51" s="212" t="s">
        <v>19</v>
      </c>
      <c r="X51" s="209">
        <v>19723</v>
      </c>
      <c r="Y51" s="213" t="s">
        <v>735</v>
      </c>
      <c r="Z51" s="209">
        <v>1</v>
      </c>
      <c r="AA51" s="209">
        <v>19723</v>
      </c>
      <c r="AB51" s="209">
        <v>19723</v>
      </c>
      <c r="AC51" s="178" t="str">
        <f>IF(OR(M51="13",M51="14",P51=8),"",IF(AND(OR(S51="AUTORIZADO", S51="PENDIENTE", S51="REDUCIDO", S51="AMPLIADO"),L51&lt;&gt;"HONORARIO" ), CONCATENATE(IF(H51="X","H",H51),"_",IF(OR(P51=5,P51=6),_xlfn.CONCAT(P51,"A"),P51),"_",VLOOKUP(T51,Datos!$B$2:$C$5,2,TRUE)),""))</f>
        <v>M_1_[hasta 3]</v>
      </c>
      <c r="AD51" s="178">
        <f t="shared" si="0"/>
        <v>39446</v>
      </c>
      <c r="AE51" s="82" t="str">
        <f t="shared" si="1"/>
        <v>-</v>
      </c>
      <c r="AF51" s="83" t="str">
        <f t="shared" si="2"/>
        <v>070601</v>
      </c>
      <c r="AG51" s="84"/>
      <c r="AH51" s="85" t="str">
        <f t="shared" si="3"/>
        <v>Corporación de Fomento de la Producción</v>
      </c>
      <c r="AI51" s="82" t="str">
        <f t="shared" si="4"/>
        <v>-</v>
      </c>
      <c r="AJ51" s="82">
        <f t="shared" si="5"/>
        <v>1</v>
      </c>
      <c r="AK51" s="82" t="str">
        <f t="shared" si="6"/>
        <v>-</v>
      </c>
      <c r="AL51" s="82" t="str">
        <f t="shared" si="7"/>
        <v>Identifica este registro como MUJER</v>
      </c>
      <c r="AM51" s="82" t="str">
        <f t="shared" si="8"/>
        <v>-</v>
      </c>
      <c r="AN51" s="82" t="str">
        <f t="shared" si="9"/>
        <v>-</v>
      </c>
      <c r="AO51" s="82" t="str">
        <f t="shared" si="10"/>
        <v>-</v>
      </c>
      <c r="AP51" s="57" t="str">
        <f t="shared" si="11"/>
        <v>-</v>
      </c>
      <c r="AQ51" s="86" t="str">
        <f t="shared" si="12"/>
        <v>-</v>
      </c>
      <c r="AR51" s="86" t="str">
        <f>IF(N51="","PRIMER_DIA en blanco",
IF(AND(M51="01",N51&gt;=L_Conversion!$C$118,N51&lt;=L_Conversion!$D$118),"-",
IF(AND(M51="02",N51&gt;=L_Conversion!$C$119,N51&lt;=L_Conversion!$D$119),"-",
IF(AND(M51="03",N51&gt;=L_Conversion!$C$120,N51&lt;=L_Conversion!$D$120),"-",
IF(AND(M51="04",N51&gt;=L_Conversion!$C$121,N51&lt;=L_Conversion!$D$121),"-",
IF(AND(M51="05",N51&gt;=L_Conversion!$C$122,N51&lt;=L_Conversion!$D$122),"-",
IF(AND(M51="06",N51&gt;=L_Conversion!$C$123,N51&lt;=L_Conversion!$D$123),"-",
IF(AND(M51="07",N51&gt;=L_Conversion!$C$124,N51&lt;=L_Conversion!$D$124),"-",
IF(AND(M51="08",N51&gt;=L_Conversion!$C$125,N51&lt;=L_Conversion!$D$125),"-",
IF(AND(M51="09",N51&gt;=L_Conversion!$C$126,N51&lt;=L_Conversion!$D$126),"-",
IF(AND(M51="10",N51&gt;=L_Conversion!$C$127,N51&lt;=L_Conversion!$D$127),"-",
IF(AND(M51="11",N51&gt;=L_Conversion!$C$128,N51&lt;=L_Conversion!$D$128),"-",
IF(AND(M51="12",N51&gt;=L_Conversion!$C$129,N51&lt;=L_Conversion!$D$129),"-",
IF(AND(M51="13",N51&gt;=L_Conversion!$C$116,N51&lt;=L_Conversion!$D$116),"-",
IF(AND(M51="14",N51&gt;=L_Conversion!$C$117,N51&lt;=L_Conversion!$D$117),"-",
"PRIMER_DIA fuera de rango")))))))))))))))</f>
        <v>-</v>
      </c>
      <c r="AS51" s="86" t="str">
        <f t="shared" si="13"/>
        <v>-</v>
      </c>
      <c r="AT51" s="86" t="str">
        <f t="shared" si="14"/>
        <v>-</v>
      </c>
      <c r="AU51" s="86" t="str">
        <f t="shared" si="15"/>
        <v>-</v>
      </c>
      <c r="AV51" s="86" t="str">
        <f t="shared" si="16"/>
        <v>-</v>
      </c>
      <c r="AW51" s="86" t="str">
        <f t="shared" si="17"/>
        <v>-</v>
      </c>
      <c r="AX51" s="86" t="str">
        <f t="shared" si="18"/>
        <v>-</v>
      </c>
      <c r="AY51" s="86" t="str">
        <f t="shared" si="19"/>
        <v>-</v>
      </c>
      <c r="AZ51" s="86" t="str">
        <f t="shared" si="20"/>
        <v>-</v>
      </c>
      <c r="BA51" s="86" t="str">
        <f t="shared" si="21"/>
        <v>-</v>
      </c>
      <c r="BB51" s="86" t="str">
        <f t="shared" si="22"/>
        <v>-</v>
      </c>
      <c r="BC51" s="86" t="str">
        <f t="shared" si="23"/>
        <v>-</v>
      </c>
      <c r="BD51" s="86" t="str">
        <f t="shared" si="24"/>
        <v>-</v>
      </c>
      <c r="BE51" s="86" t="str">
        <f t="shared" si="25"/>
        <v>-</v>
      </c>
      <c r="BF51" s="86" t="str">
        <f t="shared" si="26"/>
        <v>-</v>
      </c>
    </row>
    <row r="52" spans="1:58" x14ac:dyDescent="0.2">
      <c r="A52" s="80" t="s">
        <v>1144</v>
      </c>
      <c r="B52" s="92" t="s">
        <v>76</v>
      </c>
      <c r="C52" s="202">
        <v>13134066</v>
      </c>
      <c r="D52" s="203">
        <v>4</v>
      </c>
      <c r="E52" s="204" t="s">
        <v>1170</v>
      </c>
      <c r="F52" s="204" t="s">
        <v>1305</v>
      </c>
      <c r="G52" s="204" t="s">
        <v>1306</v>
      </c>
      <c r="H52" s="205" t="s">
        <v>663</v>
      </c>
      <c r="I52" s="205" t="s">
        <v>662</v>
      </c>
      <c r="J52" s="203">
        <v>80</v>
      </c>
      <c r="K52" s="204" t="s">
        <v>563</v>
      </c>
      <c r="L52" s="206" t="s">
        <v>502</v>
      </c>
      <c r="M52" s="210" t="s">
        <v>18</v>
      </c>
      <c r="N52" s="211">
        <v>45671</v>
      </c>
      <c r="O52" s="207">
        <v>30</v>
      </c>
      <c r="P52" s="203">
        <v>1</v>
      </c>
      <c r="Q52" s="205" t="s">
        <v>23</v>
      </c>
      <c r="R52" s="205" t="s">
        <v>11</v>
      </c>
      <c r="S52" s="205" t="s">
        <v>23</v>
      </c>
      <c r="T52" s="207">
        <v>30</v>
      </c>
      <c r="U52" s="208" t="s">
        <v>11</v>
      </c>
      <c r="V52" s="212" t="s">
        <v>11</v>
      </c>
      <c r="W52" s="212" t="s">
        <v>19</v>
      </c>
      <c r="X52" s="209">
        <v>2516321</v>
      </c>
      <c r="Y52" s="213" t="s">
        <v>735</v>
      </c>
      <c r="Z52" s="209">
        <v>30</v>
      </c>
      <c r="AA52" s="209">
        <v>2516321</v>
      </c>
      <c r="AB52" s="209">
        <v>2516321</v>
      </c>
      <c r="AC52" s="178" t="str">
        <f>IF(OR(M52="13",M52="14",P52=8),"",IF(AND(OR(S52="AUTORIZADO", S52="PENDIENTE", S52="REDUCIDO", S52="AMPLIADO"),L52&lt;&gt;"HONORARIO" ), CONCATENATE(IF(H52="X","H",H52),"_",IF(OR(P52=5,P52=6),_xlfn.CONCAT(P52,"A"),P52),"_",VLOOKUP(T52,Datos!$B$2:$C$5,2,TRUE)),""))</f>
        <v>H_1_[11 +]</v>
      </c>
      <c r="AD52" s="178">
        <f t="shared" si="0"/>
        <v>5032642</v>
      </c>
      <c r="AE52" s="82" t="str">
        <f t="shared" si="1"/>
        <v>-</v>
      </c>
      <c r="AF52" s="83" t="str">
        <f t="shared" si="2"/>
        <v>070601</v>
      </c>
      <c r="AG52" s="84"/>
      <c r="AH52" s="85" t="str">
        <f t="shared" si="3"/>
        <v>Corporación de Fomento de la Producción</v>
      </c>
      <c r="AI52" s="82" t="str">
        <f t="shared" si="4"/>
        <v>-</v>
      </c>
      <c r="AJ52" s="82">
        <f t="shared" si="5"/>
        <v>4</v>
      </c>
      <c r="AK52" s="82" t="str">
        <f t="shared" si="6"/>
        <v>-</v>
      </c>
      <c r="AL52" s="82" t="str">
        <f t="shared" si="7"/>
        <v>Identifica este registro como HOMBRE</v>
      </c>
      <c r="AM52" s="82" t="str">
        <f t="shared" si="8"/>
        <v>-</v>
      </c>
      <c r="AN52" s="82" t="str">
        <f t="shared" si="9"/>
        <v>-</v>
      </c>
      <c r="AO52" s="82" t="str">
        <f t="shared" si="10"/>
        <v>-</v>
      </c>
      <c r="AP52" s="57" t="str">
        <f t="shared" si="11"/>
        <v>-</v>
      </c>
      <c r="AQ52" s="86" t="str">
        <f t="shared" si="12"/>
        <v>-</v>
      </c>
      <c r="AR52" s="86" t="str">
        <f>IF(N52="","PRIMER_DIA en blanco",
IF(AND(M52="01",N52&gt;=L_Conversion!$C$118,N52&lt;=L_Conversion!$D$118),"-",
IF(AND(M52="02",N52&gt;=L_Conversion!$C$119,N52&lt;=L_Conversion!$D$119),"-",
IF(AND(M52="03",N52&gt;=L_Conversion!$C$120,N52&lt;=L_Conversion!$D$120),"-",
IF(AND(M52="04",N52&gt;=L_Conversion!$C$121,N52&lt;=L_Conversion!$D$121),"-",
IF(AND(M52="05",N52&gt;=L_Conversion!$C$122,N52&lt;=L_Conversion!$D$122),"-",
IF(AND(M52="06",N52&gt;=L_Conversion!$C$123,N52&lt;=L_Conversion!$D$123),"-",
IF(AND(M52="07",N52&gt;=L_Conversion!$C$124,N52&lt;=L_Conversion!$D$124),"-",
IF(AND(M52="08",N52&gt;=L_Conversion!$C$125,N52&lt;=L_Conversion!$D$125),"-",
IF(AND(M52="09",N52&gt;=L_Conversion!$C$126,N52&lt;=L_Conversion!$D$126),"-",
IF(AND(M52="10",N52&gt;=L_Conversion!$C$127,N52&lt;=L_Conversion!$D$127),"-",
IF(AND(M52="11",N52&gt;=L_Conversion!$C$128,N52&lt;=L_Conversion!$D$128),"-",
IF(AND(M52="12",N52&gt;=L_Conversion!$C$129,N52&lt;=L_Conversion!$D$129),"-",
IF(AND(M52="13",N52&gt;=L_Conversion!$C$116,N52&lt;=L_Conversion!$D$116),"-",
IF(AND(M52="14",N52&gt;=L_Conversion!$C$117,N52&lt;=L_Conversion!$D$117),"-",
"PRIMER_DIA fuera de rango")))))))))))))))</f>
        <v>-</v>
      </c>
      <c r="AS52" s="86" t="str">
        <f t="shared" si="13"/>
        <v>-</v>
      </c>
      <c r="AT52" s="86" t="str">
        <f t="shared" si="14"/>
        <v>-</v>
      </c>
      <c r="AU52" s="86" t="str">
        <f t="shared" si="15"/>
        <v>-</v>
      </c>
      <c r="AV52" s="86" t="str">
        <f t="shared" si="16"/>
        <v>-</v>
      </c>
      <c r="AW52" s="86" t="str">
        <f t="shared" si="17"/>
        <v>-</v>
      </c>
      <c r="AX52" s="86" t="str">
        <f t="shared" si="18"/>
        <v>-</v>
      </c>
      <c r="AY52" s="86" t="str">
        <f t="shared" si="19"/>
        <v>-</v>
      </c>
      <c r="AZ52" s="86" t="str">
        <f t="shared" si="20"/>
        <v>-</v>
      </c>
      <c r="BA52" s="86" t="str">
        <f t="shared" si="21"/>
        <v>-</v>
      </c>
      <c r="BB52" s="86" t="str">
        <f t="shared" si="22"/>
        <v>-</v>
      </c>
      <c r="BC52" s="86" t="str">
        <f t="shared" si="23"/>
        <v>-</v>
      </c>
      <c r="BD52" s="86" t="str">
        <f t="shared" si="24"/>
        <v>-</v>
      </c>
      <c r="BE52" s="86" t="str">
        <f t="shared" si="25"/>
        <v>-</v>
      </c>
      <c r="BF52" s="86" t="str">
        <f t="shared" si="26"/>
        <v>-</v>
      </c>
    </row>
    <row r="53" spans="1:58" x14ac:dyDescent="0.2">
      <c r="A53" s="80" t="s">
        <v>1144</v>
      </c>
      <c r="B53" s="92" t="s">
        <v>76</v>
      </c>
      <c r="C53" s="202">
        <v>10865056</v>
      </c>
      <c r="D53" s="203">
        <v>7</v>
      </c>
      <c r="E53" s="204" t="s">
        <v>1307</v>
      </c>
      <c r="F53" s="204" t="s">
        <v>1172</v>
      </c>
      <c r="G53" s="204" t="s">
        <v>1308</v>
      </c>
      <c r="H53" s="205" t="s">
        <v>663</v>
      </c>
      <c r="I53" s="205" t="s">
        <v>662</v>
      </c>
      <c r="J53" s="203">
        <v>80</v>
      </c>
      <c r="K53" s="204" t="s">
        <v>561</v>
      </c>
      <c r="L53" s="206" t="s">
        <v>502</v>
      </c>
      <c r="M53" s="210" t="s">
        <v>18</v>
      </c>
      <c r="N53" s="211">
        <v>45671</v>
      </c>
      <c r="O53" s="207">
        <v>12</v>
      </c>
      <c r="P53" s="203">
        <v>1</v>
      </c>
      <c r="Q53" s="205" t="s">
        <v>23</v>
      </c>
      <c r="R53" s="205" t="s">
        <v>11</v>
      </c>
      <c r="S53" s="205" t="s">
        <v>23</v>
      </c>
      <c r="T53" s="207">
        <v>12</v>
      </c>
      <c r="U53" s="208" t="s">
        <v>11</v>
      </c>
      <c r="V53" s="212" t="s">
        <v>11</v>
      </c>
      <c r="W53" s="212" t="s">
        <v>19</v>
      </c>
      <c r="X53" s="209">
        <v>1265304</v>
      </c>
      <c r="Y53" s="213" t="s">
        <v>735</v>
      </c>
      <c r="Z53" s="209">
        <v>12</v>
      </c>
      <c r="AA53" s="209">
        <v>1265304</v>
      </c>
      <c r="AB53" s="209">
        <v>1265304</v>
      </c>
      <c r="AC53" s="178" t="str">
        <f>IF(OR(M53="13",M53="14",P53=8),"",IF(AND(OR(S53="AUTORIZADO", S53="PENDIENTE", S53="REDUCIDO", S53="AMPLIADO"),L53&lt;&gt;"HONORARIO" ), CONCATENATE(IF(H53="X","H",H53),"_",IF(OR(P53=5,P53=6),_xlfn.CONCAT(P53,"A"),P53),"_",VLOOKUP(T53,Datos!$B$2:$C$5,2,TRUE)),""))</f>
        <v>H_1_[11 +]</v>
      </c>
      <c r="AD53" s="178">
        <f t="shared" si="0"/>
        <v>2530608</v>
      </c>
      <c r="AE53" s="82" t="str">
        <f t="shared" si="1"/>
        <v>-</v>
      </c>
      <c r="AF53" s="83" t="str">
        <f t="shared" si="2"/>
        <v>070601</v>
      </c>
      <c r="AG53" s="84"/>
      <c r="AH53" s="85" t="str">
        <f t="shared" si="3"/>
        <v>Corporación de Fomento de la Producción</v>
      </c>
      <c r="AI53" s="82" t="str">
        <f t="shared" si="4"/>
        <v>-</v>
      </c>
      <c r="AJ53" s="82">
        <f t="shared" si="5"/>
        <v>7</v>
      </c>
      <c r="AK53" s="82" t="str">
        <f t="shared" si="6"/>
        <v>-</v>
      </c>
      <c r="AL53" s="82" t="str">
        <f t="shared" si="7"/>
        <v>Identifica este registro como HOMBRE</v>
      </c>
      <c r="AM53" s="82" t="str">
        <f t="shared" si="8"/>
        <v>-</v>
      </c>
      <c r="AN53" s="82" t="str">
        <f t="shared" si="9"/>
        <v>-</v>
      </c>
      <c r="AO53" s="82" t="str">
        <f t="shared" si="10"/>
        <v>-</v>
      </c>
      <c r="AP53" s="57" t="str">
        <f t="shared" si="11"/>
        <v>-</v>
      </c>
      <c r="AQ53" s="86" t="str">
        <f t="shared" si="12"/>
        <v>-</v>
      </c>
      <c r="AR53" s="86" t="str">
        <f>IF(N53="","PRIMER_DIA en blanco",
IF(AND(M53="01",N53&gt;=L_Conversion!$C$118,N53&lt;=L_Conversion!$D$118),"-",
IF(AND(M53="02",N53&gt;=L_Conversion!$C$119,N53&lt;=L_Conversion!$D$119),"-",
IF(AND(M53="03",N53&gt;=L_Conversion!$C$120,N53&lt;=L_Conversion!$D$120),"-",
IF(AND(M53="04",N53&gt;=L_Conversion!$C$121,N53&lt;=L_Conversion!$D$121),"-",
IF(AND(M53="05",N53&gt;=L_Conversion!$C$122,N53&lt;=L_Conversion!$D$122),"-",
IF(AND(M53="06",N53&gt;=L_Conversion!$C$123,N53&lt;=L_Conversion!$D$123),"-",
IF(AND(M53="07",N53&gt;=L_Conversion!$C$124,N53&lt;=L_Conversion!$D$124),"-",
IF(AND(M53="08",N53&gt;=L_Conversion!$C$125,N53&lt;=L_Conversion!$D$125),"-",
IF(AND(M53="09",N53&gt;=L_Conversion!$C$126,N53&lt;=L_Conversion!$D$126),"-",
IF(AND(M53="10",N53&gt;=L_Conversion!$C$127,N53&lt;=L_Conversion!$D$127),"-",
IF(AND(M53="11",N53&gt;=L_Conversion!$C$128,N53&lt;=L_Conversion!$D$128),"-",
IF(AND(M53="12",N53&gt;=L_Conversion!$C$129,N53&lt;=L_Conversion!$D$129),"-",
IF(AND(M53="13",N53&gt;=L_Conversion!$C$116,N53&lt;=L_Conversion!$D$116),"-",
IF(AND(M53="14",N53&gt;=L_Conversion!$C$117,N53&lt;=L_Conversion!$D$117),"-",
"PRIMER_DIA fuera de rango")))))))))))))))</f>
        <v>-</v>
      </c>
      <c r="AS53" s="86" t="str">
        <f t="shared" si="13"/>
        <v>-</v>
      </c>
      <c r="AT53" s="86" t="str">
        <f t="shared" si="14"/>
        <v>-</v>
      </c>
      <c r="AU53" s="86" t="str">
        <f t="shared" si="15"/>
        <v>-</v>
      </c>
      <c r="AV53" s="86" t="str">
        <f t="shared" si="16"/>
        <v>-</v>
      </c>
      <c r="AW53" s="86" t="str">
        <f t="shared" si="17"/>
        <v>-</v>
      </c>
      <c r="AX53" s="86" t="str">
        <f t="shared" si="18"/>
        <v>-</v>
      </c>
      <c r="AY53" s="86" t="str">
        <f t="shared" si="19"/>
        <v>-</v>
      </c>
      <c r="AZ53" s="86" t="str">
        <f t="shared" si="20"/>
        <v>-</v>
      </c>
      <c r="BA53" s="86" t="str">
        <f t="shared" si="21"/>
        <v>-</v>
      </c>
      <c r="BB53" s="86" t="str">
        <f t="shared" si="22"/>
        <v>-</v>
      </c>
      <c r="BC53" s="86" t="str">
        <f t="shared" si="23"/>
        <v>-</v>
      </c>
      <c r="BD53" s="86" t="str">
        <f t="shared" si="24"/>
        <v>-</v>
      </c>
      <c r="BE53" s="86" t="str">
        <f t="shared" si="25"/>
        <v>-</v>
      </c>
      <c r="BF53" s="86" t="str">
        <f t="shared" si="26"/>
        <v>-</v>
      </c>
    </row>
    <row r="54" spans="1:58" x14ac:dyDescent="0.2">
      <c r="A54" s="80" t="s">
        <v>1144</v>
      </c>
      <c r="B54" s="92" t="s">
        <v>76</v>
      </c>
      <c r="C54" s="202">
        <v>10464332</v>
      </c>
      <c r="D54" s="203">
        <v>9</v>
      </c>
      <c r="E54" s="204" t="s">
        <v>1309</v>
      </c>
      <c r="F54" s="204" t="s">
        <v>1310</v>
      </c>
      <c r="G54" s="204" t="s">
        <v>1311</v>
      </c>
      <c r="H54" s="205" t="s">
        <v>663</v>
      </c>
      <c r="I54" s="205" t="s">
        <v>663</v>
      </c>
      <c r="J54" s="203">
        <v>80</v>
      </c>
      <c r="K54" s="204" t="s">
        <v>567</v>
      </c>
      <c r="L54" s="206" t="s">
        <v>519</v>
      </c>
      <c r="M54" s="210" t="s">
        <v>18</v>
      </c>
      <c r="N54" s="211">
        <v>45671</v>
      </c>
      <c r="O54" s="207">
        <v>30</v>
      </c>
      <c r="P54" s="203">
        <v>1</v>
      </c>
      <c r="Q54" s="205" t="s">
        <v>23</v>
      </c>
      <c r="R54" s="205" t="s">
        <v>11</v>
      </c>
      <c r="S54" s="205" t="s">
        <v>23</v>
      </c>
      <c r="T54" s="207">
        <v>30</v>
      </c>
      <c r="U54" s="208" t="s">
        <v>11</v>
      </c>
      <c r="V54" s="212" t="s">
        <v>11</v>
      </c>
      <c r="W54" s="212" t="s">
        <v>19</v>
      </c>
      <c r="X54" s="209">
        <v>290926</v>
      </c>
      <c r="Y54" s="213" t="s">
        <v>735</v>
      </c>
      <c r="Z54" s="209">
        <v>30</v>
      </c>
      <c r="AA54" s="209">
        <v>290926</v>
      </c>
      <c r="AB54" s="209">
        <v>290926</v>
      </c>
      <c r="AC54" s="178" t="str">
        <f>IF(OR(M54="13",M54="14",P54=8),"",IF(AND(OR(S54="AUTORIZADO", S54="PENDIENTE", S54="REDUCIDO", S54="AMPLIADO"),L54&lt;&gt;"HONORARIO" ), CONCATENATE(IF(H54="X","H",H54),"_",IF(OR(P54=5,P54=6),_xlfn.CONCAT(P54,"A"),P54),"_",VLOOKUP(T54,Datos!$B$2:$C$5,2,TRUE)),""))</f>
        <v>H_1_[11 +]</v>
      </c>
      <c r="AD54" s="178">
        <f t="shared" si="0"/>
        <v>581852</v>
      </c>
      <c r="AE54" s="82" t="str">
        <f t="shared" si="1"/>
        <v>-</v>
      </c>
      <c r="AF54" s="83" t="str">
        <f t="shared" si="2"/>
        <v>070601</v>
      </c>
      <c r="AG54" s="84"/>
      <c r="AH54" s="85" t="str">
        <f t="shared" si="3"/>
        <v>Corporación de Fomento de la Producción</v>
      </c>
      <c r="AI54" s="82" t="str">
        <f t="shared" si="4"/>
        <v>-</v>
      </c>
      <c r="AJ54" s="82">
        <f t="shared" si="5"/>
        <v>9</v>
      </c>
      <c r="AK54" s="82" t="str">
        <f t="shared" si="6"/>
        <v>-</v>
      </c>
      <c r="AL54" s="82" t="str">
        <f t="shared" si="7"/>
        <v>Identifica este registro como HOMBRE</v>
      </c>
      <c r="AM54" s="82" t="str">
        <f t="shared" si="8"/>
        <v>-</v>
      </c>
      <c r="AN54" s="82" t="str">
        <f t="shared" si="9"/>
        <v>-</v>
      </c>
      <c r="AO54" s="82" t="str">
        <f t="shared" si="10"/>
        <v>-</v>
      </c>
      <c r="AP54" s="57" t="str">
        <f t="shared" si="11"/>
        <v>-</v>
      </c>
      <c r="AQ54" s="86" t="str">
        <f t="shared" si="12"/>
        <v>-</v>
      </c>
      <c r="AR54" s="86" t="str">
        <f>IF(N54="","PRIMER_DIA en blanco",
IF(AND(M54="01",N54&gt;=L_Conversion!$C$118,N54&lt;=L_Conversion!$D$118),"-",
IF(AND(M54="02",N54&gt;=L_Conversion!$C$119,N54&lt;=L_Conversion!$D$119),"-",
IF(AND(M54="03",N54&gt;=L_Conversion!$C$120,N54&lt;=L_Conversion!$D$120),"-",
IF(AND(M54="04",N54&gt;=L_Conversion!$C$121,N54&lt;=L_Conversion!$D$121),"-",
IF(AND(M54="05",N54&gt;=L_Conversion!$C$122,N54&lt;=L_Conversion!$D$122),"-",
IF(AND(M54="06",N54&gt;=L_Conversion!$C$123,N54&lt;=L_Conversion!$D$123),"-",
IF(AND(M54="07",N54&gt;=L_Conversion!$C$124,N54&lt;=L_Conversion!$D$124),"-",
IF(AND(M54="08",N54&gt;=L_Conversion!$C$125,N54&lt;=L_Conversion!$D$125),"-",
IF(AND(M54="09",N54&gt;=L_Conversion!$C$126,N54&lt;=L_Conversion!$D$126),"-",
IF(AND(M54="10",N54&gt;=L_Conversion!$C$127,N54&lt;=L_Conversion!$D$127),"-",
IF(AND(M54="11",N54&gt;=L_Conversion!$C$128,N54&lt;=L_Conversion!$D$128),"-",
IF(AND(M54="12",N54&gt;=L_Conversion!$C$129,N54&lt;=L_Conversion!$D$129),"-",
IF(AND(M54="13",N54&gt;=L_Conversion!$C$116,N54&lt;=L_Conversion!$D$116),"-",
IF(AND(M54="14",N54&gt;=L_Conversion!$C$117,N54&lt;=L_Conversion!$D$117),"-",
"PRIMER_DIA fuera de rango")))))))))))))))</f>
        <v>-</v>
      </c>
      <c r="AS54" s="86" t="str">
        <f t="shared" si="13"/>
        <v>-</v>
      </c>
      <c r="AT54" s="86" t="str">
        <f t="shared" si="14"/>
        <v>-</v>
      </c>
      <c r="AU54" s="86" t="str">
        <f t="shared" si="15"/>
        <v>-</v>
      </c>
      <c r="AV54" s="86" t="str">
        <f t="shared" si="16"/>
        <v>-</v>
      </c>
      <c r="AW54" s="86" t="str">
        <f t="shared" si="17"/>
        <v>-</v>
      </c>
      <c r="AX54" s="86" t="str">
        <f t="shared" si="18"/>
        <v>-</v>
      </c>
      <c r="AY54" s="86" t="str">
        <f t="shared" si="19"/>
        <v>-</v>
      </c>
      <c r="AZ54" s="86" t="str">
        <f t="shared" si="20"/>
        <v>-</v>
      </c>
      <c r="BA54" s="86" t="str">
        <f t="shared" si="21"/>
        <v>-</v>
      </c>
      <c r="BB54" s="86" t="str">
        <f t="shared" si="22"/>
        <v>-</v>
      </c>
      <c r="BC54" s="86" t="str">
        <f t="shared" si="23"/>
        <v>-</v>
      </c>
      <c r="BD54" s="86" t="str">
        <f t="shared" si="24"/>
        <v>-</v>
      </c>
      <c r="BE54" s="86" t="str">
        <f t="shared" si="25"/>
        <v>-</v>
      </c>
      <c r="BF54" s="86" t="str">
        <f t="shared" si="26"/>
        <v>-</v>
      </c>
    </row>
    <row r="55" spans="1:58" x14ac:dyDescent="0.2">
      <c r="A55" s="80" t="s">
        <v>1144</v>
      </c>
      <c r="B55" s="92" t="s">
        <v>1274</v>
      </c>
      <c r="C55" s="202">
        <v>10629824</v>
      </c>
      <c r="D55" s="203">
        <v>6</v>
      </c>
      <c r="E55" s="204" t="s">
        <v>1149</v>
      </c>
      <c r="F55" s="204" t="s">
        <v>1312</v>
      </c>
      <c r="G55" s="204" t="s">
        <v>1313</v>
      </c>
      <c r="H55" s="205" t="s">
        <v>1033</v>
      </c>
      <c r="I55" s="205" t="s">
        <v>663</v>
      </c>
      <c r="J55" s="203">
        <v>80</v>
      </c>
      <c r="K55" s="204" t="s">
        <v>563</v>
      </c>
      <c r="L55" s="206" t="s">
        <v>516</v>
      </c>
      <c r="M55" s="210" t="s">
        <v>18</v>
      </c>
      <c r="N55" s="211">
        <v>45671</v>
      </c>
      <c r="O55" s="207">
        <v>4</v>
      </c>
      <c r="P55" s="203">
        <v>1</v>
      </c>
      <c r="Q55" s="205" t="s">
        <v>23</v>
      </c>
      <c r="R55" s="205" t="s">
        <v>11</v>
      </c>
      <c r="S55" s="205" t="s">
        <v>23</v>
      </c>
      <c r="T55" s="207">
        <v>4</v>
      </c>
      <c r="U55" s="208" t="s">
        <v>11</v>
      </c>
      <c r="V55" s="212" t="s">
        <v>11</v>
      </c>
      <c r="W55" s="212" t="s">
        <v>19</v>
      </c>
      <c r="X55" s="209">
        <v>166519</v>
      </c>
      <c r="Y55" s="213" t="s">
        <v>735</v>
      </c>
      <c r="Z55" s="209">
        <v>4</v>
      </c>
      <c r="AA55" s="209">
        <v>166519</v>
      </c>
      <c r="AB55" s="209">
        <v>166519</v>
      </c>
      <c r="AC55" s="178" t="str">
        <f>IF(OR(M55="13",M55="14",P55=8),"",IF(AND(OR(S55="AUTORIZADO", S55="PENDIENTE", S55="REDUCIDO", S55="AMPLIADO"),L55&lt;&gt;"HONORARIO" ), CONCATENATE(IF(H55="X","H",H55),"_",IF(OR(P55=5,P55=6),_xlfn.CONCAT(P55,"A"),P55),"_",VLOOKUP(T55,Datos!$B$2:$C$5,2,TRUE)),""))</f>
        <v>M_1_[4 a 10]</v>
      </c>
      <c r="AD55" s="178">
        <f t="shared" si="0"/>
        <v>333038</v>
      </c>
      <c r="AE55" s="82" t="str">
        <f t="shared" si="1"/>
        <v>-</v>
      </c>
      <c r="AF55" s="83" t="str">
        <f t="shared" si="2"/>
        <v>Revisar</v>
      </c>
      <c r="AG55" s="84"/>
      <c r="AH55" s="85" t="str">
        <f t="shared" si="3"/>
        <v>Corregir código servicio</v>
      </c>
      <c r="AI55" s="82" t="str">
        <f t="shared" si="4"/>
        <v>-</v>
      </c>
      <c r="AJ55" s="82">
        <f t="shared" si="5"/>
        <v>6</v>
      </c>
      <c r="AK55" s="82" t="str">
        <f t="shared" si="6"/>
        <v>-</v>
      </c>
      <c r="AL55" s="82" t="str">
        <f t="shared" si="7"/>
        <v>Identifica este registro como MUJER</v>
      </c>
      <c r="AM55" s="82" t="str">
        <f t="shared" si="8"/>
        <v>-</v>
      </c>
      <c r="AN55" s="82" t="str">
        <f t="shared" si="9"/>
        <v>-</v>
      </c>
      <c r="AO55" s="82" t="str">
        <f t="shared" si="10"/>
        <v>-</v>
      </c>
      <c r="AP55" s="57" t="str">
        <f t="shared" si="11"/>
        <v>-</v>
      </c>
      <c r="AQ55" s="86" t="str">
        <f t="shared" si="12"/>
        <v>-</v>
      </c>
      <c r="AR55" s="86" t="str">
        <f>IF(N55="","PRIMER_DIA en blanco",
IF(AND(M55="01",N55&gt;=L_Conversion!$C$118,N55&lt;=L_Conversion!$D$118),"-",
IF(AND(M55="02",N55&gt;=L_Conversion!$C$119,N55&lt;=L_Conversion!$D$119),"-",
IF(AND(M55="03",N55&gt;=L_Conversion!$C$120,N55&lt;=L_Conversion!$D$120),"-",
IF(AND(M55="04",N55&gt;=L_Conversion!$C$121,N55&lt;=L_Conversion!$D$121),"-",
IF(AND(M55="05",N55&gt;=L_Conversion!$C$122,N55&lt;=L_Conversion!$D$122),"-",
IF(AND(M55="06",N55&gt;=L_Conversion!$C$123,N55&lt;=L_Conversion!$D$123),"-",
IF(AND(M55="07",N55&gt;=L_Conversion!$C$124,N55&lt;=L_Conversion!$D$124),"-",
IF(AND(M55="08",N55&gt;=L_Conversion!$C$125,N55&lt;=L_Conversion!$D$125),"-",
IF(AND(M55="09",N55&gt;=L_Conversion!$C$126,N55&lt;=L_Conversion!$D$126),"-",
IF(AND(M55="10",N55&gt;=L_Conversion!$C$127,N55&lt;=L_Conversion!$D$127),"-",
IF(AND(M55="11",N55&gt;=L_Conversion!$C$128,N55&lt;=L_Conversion!$D$128),"-",
IF(AND(M55="12",N55&gt;=L_Conversion!$C$129,N55&lt;=L_Conversion!$D$129),"-",
IF(AND(M55="13",N55&gt;=L_Conversion!$C$116,N55&lt;=L_Conversion!$D$116),"-",
IF(AND(M55="14",N55&gt;=L_Conversion!$C$117,N55&lt;=L_Conversion!$D$117),"-",
"PRIMER_DIA fuera de rango")))))))))))))))</f>
        <v>-</v>
      </c>
      <c r="AS55" s="86" t="str">
        <f t="shared" si="13"/>
        <v>-</v>
      </c>
      <c r="AT55" s="86" t="str">
        <f t="shared" si="14"/>
        <v>-</v>
      </c>
      <c r="AU55" s="86" t="str">
        <f t="shared" si="15"/>
        <v>-</v>
      </c>
      <c r="AV55" s="86" t="str">
        <f t="shared" si="16"/>
        <v>-</v>
      </c>
      <c r="AW55" s="86" t="str">
        <f t="shared" si="17"/>
        <v>-</v>
      </c>
      <c r="AX55" s="86" t="str">
        <f t="shared" si="18"/>
        <v>-</v>
      </c>
      <c r="AY55" s="86" t="str">
        <f t="shared" si="19"/>
        <v>-</v>
      </c>
      <c r="AZ55" s="86" t="str">
        <f t="shared" si="20"/>
        <v>-</v>
      </c>
      <c r="BA55" s="86" t="str">
        <f t="shared" si="21"/>
        <v>-</v>
      </c>
      <c r="BB55" s="86" t="str">
        <f t="shared" si="22"/>
        <v>-</v>
      </c>
      <c r="BC55" s="86" t="str">
        <f t="shared" si="23"/>
        <v>-</v>
      </c>
      <c r="BD55" s="86" t="str">
        <f t="shared" si="24"/>
        <v>-</v>
      </c>
      <c r="BE55" s="86" t="str">
        <f t="shared" si="25"/>
        <v>-</v>
      </c>
      <c r="BF55" s="86" t="str">
        <f t="shared" si="26"/>
        <v>-</v>
      </c>
    </row>
    <row r="56" spans="1:58" x14ac:dyDescent="0.2">
      <c r="A56" s="80" t="s">
        <v>1144</v>
      </c>
      <c r="B56" s="92" t="s">
        <v>76</v>
      </c>
      <c r="C56" s="202">
        <v>6156471</v>
      </c>
      <c r="D56" s="203">
        <v>3</v>
      </c>
      <c r="E56" s="204" t="s">
        <v>1314</v>
      </c>
      <c r="F56" s="204" t="s">
        <v>1315</v>
      </c>
      <c r="G56" s="204" t="s">
        <v>1316</v>
      </c>
      <c r="H56" s="205" t="s">
        <v>663</v>
      </c>
      <c r="I56" s="205" t="s">
        <v>662</v>
      </c>
      <c r="J56" s="203">
        <v>60</v>
      </c>
      <c r="K56" s="204" t="s">
        <v>563</v>
      </c>
      <c r="L56" s="206" t="s">
        <v>497</v>
      </c>
      <c r="M56" s="210" t="s">
        <v>18</v>
      </c>
      <c r="N56" s="211">
        <v>45671</v>
      </c>
      <c r="O56" s="207">
        <v>18</v>
      </c>
      <c r="P56" s="203">
        <v>1</v>
      </c>
      <c r="Q56" s="205" t="s">
        <v>23</v>
      </c>
      <c r="R56" s="205" t="s">
        <v>11</v>
      </c>
      <c r="S56" s="205" t="s">
        <v>23</v>
      </c>
      <c r="T56" s="207">
        <v>18</v>
      </c>
      <c r="U56" s="208" t="s">
        <v>11</v>
      </c>
      <c r="V56" s="212" t="s">
        <v>11</v>
      </c>
      <c r="W56" s="212" t="s">
        <v>19</v>
      </c>
      <c r="X56" s="209">
        <v>1875587</v>
      </c>
      <c r="Y56" s="213" t="s">
        <v>735</v>
      </c>
      <c r="Z56" s="209">
        <v>18</v>
      </c>
      <c r="AA56" s="209">
        <v>1875587</v>
      </c>
      <c r="AB56" s="209">
        <v>1875587</v>
      </c>
      <c r="AC56" s="178" t="str">
        <f>IF(OR(M56="13",M56="14",P56=8),"",IF(AND(OR(S56="AUTORIZADO", S56="PENDIENTE", S56="REDUCIDO", S56="AMPLIADO"),L56&lt;&gt;"HONORARIO" ), CONCATENATE(IF(H56="X","H",H56),"_",IF(OR(P56=5,P56=6),_xlfn.CONCAT(P56,"A"),P56),"_",VLOOKUP(T56,Datos!$B$2:$C$5,2,TRUE)),""))</f>
        <v>H_1_[11 +]</v>
      </c>
      <c r="AD56" s="178">
        <f t="shared" si="0"/>
        <v>3751174</v>
      </c>
      <c r="AE56" s="82" t="str">
        <f t="shared" si="1"/>
        <v>-</v>
      </c>
      <c r="AF56" s="83" t="str">
        <f t="shared" si="2"/>
        <v>070601</v>
      </c>
      <c r="AG56" s="84"/>
      <c r="AH56" s="85" t="str">
        <f t="shared" si="3"/>
        <v>Corporación de Fomento de la Producción</v>
      </c>
      <c r="AI56" s="82" t="str">
        <f t="shared" si="4"/>
        <v>-</v>
      </c>
      <c r="AJ56" s="82">
        <f t="shared" si="5"/>
        <v>3</v>
      </c>
      <c r="AK56" s="82" t="str">
        <f t="shared" si="6"/>
        <v>-</v>
      </c>
      <c r="AL56" s="82" t="str">
        <f t="shared" si="7"/>
        <v>Identifica este registro como HOMBRE</v>
      </c>
      <c r="AM56" s="82" t="str">
        <f t="shared" si="8"/>
        <v>-</v>
      </c>
      <c r="AN56" s="82" t="str">
        <f t="shared" si="9"/>
        <v>-</v>
      </c>
      <c r="AO56" s="82" t="str">
        <f t="shared" si="10"/>
        <v>-</v>
      </c>
      <c r="AP56" s="57" t="str">
        <f t="shared" si="11"/>
        <v>-</v>
      </c>
      <c r="AQ56" s="86" t="str">
        <f t="shared" si="12"/>
        <v>-</v>
      </c>
      <c r="AR56" s="86" t="str">
        <f>IF(N56="","PRIMER_DIA en blanco",
IF(AND(M56="01",N56&gt;=L_Conversion!$C$118,N56&lt;=L_Conversion!$D$118),"-",
IF(AND(M56="02",N56&gt;=L_Conversion!$C$119,N56&lt;=L_Conversion!$D$119),"-",
IF(AND(M56="03",N56&gt;=L_Conversion!$C$120,N56&lt;=L_Conversion!$D$120),"-",
IF(AND(M56="04",N56&gt;=L_Conversion!$C$121,N56&lt;=L_Conversion!$D$121),"-",
IF(AND(M56="05",N56&gt;=L_Conversion!$C$122,N56&lt;=L_Conversion!$D$122),"-",
IF(AND(M56="06",N56&gt;=L_Conversion!$C$123,N56&lt;=L_Conversion!$D$123),"-",
IF(AND(M56="07",N56&gt;=L_Conversion!$C$124,N56&lt;=L_Conversion!$D$124),"-",
IF(AND(M56="08",N56&gt;=L_Conversion!$C$125,N56&lt;=L_Conversion!$D$125),"-",
IF(AND(M56="09",N56&gt;=L_Conversion!$C$126,N56&lt;=L_Conversion!$D$126),"-",
IF(AND(M56="10",N56&gt;=L_Conversion!$C$127,N56&lt;=L_Conversion!$D$127),"-",
IF(AND(M56="11",N56&gt;=L_Conversion!$C$128,N56&lt;=L_Conversion!$D$128),"-",
IF(AND(M56="12",N56&gt;=L_Conversion!$C$129,N56&lt;=L_Conversion!$D$129),"-",
IF(AND(M56="13",N56&gt;=L_Conversion!$C$116,N56&lt;=L_Conversion!$D$116),"-",
IF(AND(M56="14",N56&gt;=L_Conversion!$C$117,N56&lt;=L_Conversion!$D$117),"-",
"PRIMER_DIA fuera de rango")))))))))))))))</f>
        <v>-</v>
      </c>
      <c r="AS56" s="86" t="str">
        <f t="shared" si="13"/>
        <v>-</v>
      </c>
      <c r="AT56" s="86" t="str">
        <f t="shared" si="14"/>
        <v>-</v>
      </c>
      <c r="AU56" s="86" t="str">
        <f t="shared" si="15"/>
        <v>-</v>
      </c>
      <c r="AV56" s="86" t="str">
        <f t="shared" si="16"/>
        <v>-</v>
      </c>
      <c r="AW56" s="86" t="str">
        <f t="shared" si="17"/>
        <v>-</v>
      </c>
      <c r="AX56" s="86" t="str">
        <f t="shared" si="18"/>
        <v>-</v>
      </c>
      <c r="AY56" s="86" t="str">
        <f t="shared" si="19"/>
        <v>-</v>
      </c>
      <c r="AZ56" s="86" t="str">
        <f t="shared" si="20"/>
        <v>-</v>
      </c>
      <c r="BA56" s="86" t="str">
        <f t="shared" si="21"/>
        <v>-</v>
      </c>
      <c r="BB56" s="86" t="str">
        <f t="shared" si="22"/>
        <v>-</v>
      </c>
      <c r="BC56" s="86" t="str">
        <f t="shared" si="23"/>
        <v>-</v>
      </c>
      <c r="BD56" s="86" t="str">
        <f t="shared" si="24"/>
        <v>-</v>
      </c>
      <c r="BE56" s="86" t="str">
        <f t="shared" si="25"/>
        <v>-</v>
      </c>
      <c r="BF56" s="86" t="str">
        <f t="shared" si="26"/>
        <v>-</v>
      </c>
    </row>
    <row r="57" spans="1:58" x14ac:dyDescent="0.2">
      <c r="A57" s="80" t="s">
        <v>1144</v>
      </c>
      <c r="B57" s="92" t="s">
        <v>76</v>
      </c>
      <c r="C57" s="202">
        <v>12800998</v>
      </c>
      <c r="D57" s="203">
        <v>1</v>
      </c>
      <c r="E57" s="204" t="s">
        <v>1303</v>
      </c>
      <c r="F57" s="204" t="s">
        <v>1304</v>
      </c>
      <c r="G57" s="204" t="s">
        <v>1290</v>
      </c>
      <c r="H57" s="205" t="s">
        <v>1033</v>
      </c>
      <c r="I57" s="205" t="s">
        <v>662</v>
      </c>
      <c r="J57" s="203">
        <v>80</v>
      </c>
      <c r="K57" s="204" t="s">
        <v>563</v>
      </c>
      <c r="L57" s="206" t="s">
        <v>502</v>
      </c>
      <c r="M57" s="210" t="s">
        <v>18</v>
      </c>
      <c r="N57" s="211">
        <v>45671</v>
      </c>
      <c r="O57" s="207">
        <v>1</v>
      </c>
      <c r="P57" s="203">
        <v>1</v>
      </c>
      <c r="Q57" s="205" t="s">
        <v>23</v>
      </c>
      <c r="R57" s="205" t="s">
        <v>11</v>
      </c>
      <c r="S57" s="205" t="s">
        <v>23</v>
      </c>
      <c r="T57" s="207">
        <v>1</v>
      </c>
      <c r="U57" s="208" t="s">
        <v>11</v>
      </c>
      <c r="V57" s="212" t="s">
        <v>19</v>
      </c>
      <c r="W57" s="212" t="s">
        <v>19</v>
      </c>
      <c r="X57" s="209">
        <v>19723</v>
      </c>
      <c r="Y57" s="213" t="s">
        <v>735</v>
      </c>
      <c r="Z57" s="209">
        <v>1</v>
      </c>
      <c r="AA57" s="209">
        <v>19723</v>
      </c>
      <c r="AB57" s="209">
        <v>19723</v>
      </c>
      <c r="AC57" s="178" t="str">
        <f>IF(OR(M57="13",M57="14",P57=8),"",IF(AND(OR(S57="AUTORIZADO", S57="PENDIENTE", S57="REDUCIDO", S57="AMPLIADO"),L57&lt;&gt;"HONORARIO" ), CONCATENATE(IF(H57="X","H",H57),"_",IF(OR(P57=5,P57=6),_xlfn.CONCAT(P57,"A"),P57),"_",VLOOKUP(T57,Datos!$B$2:$C$5,2,TRUE)),""))</f>
        <v>M_1_[hasta 3]</v>
      </c>
      <c r="AD57" s="178">
        <f t="shared" si="0"/>
        <v>39446</v>
      </c>
      <c r="AE57" s="82" t="str">
        <f t="shared" si="1"/>
        <v>-</v>
      </c>
      <c r="AF57" s="83" t="str">
        <f t="shared" si="2"/>
        <v>070601</v>
      </c>
      <c r="AG57" s="84"/>
      <c r="AH57" s="85" t="str">
        <f t="shared" si="3"/>
        <v>Corporación de Fomento de la Producción</v>
      </c>
      <c r="AI57" s="82" t="str">
        <f t="shared" si="4"/>
        <v>-</v>
      </c>
      <c r="AJ57" s="82">
        <f t="shared" si="5"/>
        <v>1</v>
      </c>
      <c r="AK57" s="82" t="str">
        <f t="shared" si="6"/>
        <v>-</v>
      </c>
      <c r="AL57" s="82" t="str">
        <f t="shared" si="7"/>
        <v>Identifica este registro como MUJER</v>
      </c>
      <c r="AM57" s="82" t="str">
        <f t="shared" si="8"/>
        <v>-</v>
      </c>
      <c r="AN57" s="82" t="str">
        <f t="shared" si="9"/>
        <v>-</v>
      </c>
      <c r="AO57" s="82" t="str">
        <f t="shared" si="10"/>
        <v>-</v>
      </c>
      <c r="AP57" s="57" t="str">
        <f t="shared" si="11"/>
        <v>-</v>
      </c>
      <c r="AQ57" s="86" t="str">
        <f t="shared" si="12"/>
        <v>-</v>
      </c>
      <c r="AR57" s="86" t="str">
        <f>IF(N57="","PRIMER_DIA en blanco",
IF(AND(M57="01",N57&gt;=L_Conversion!$C$118,N57&lt;=L_Conversion!$D$118),"-",
IF(AND(M57="02",N57&gt;=L_Conversion!$C$119,N57&lt;=L_Conversion!$D$119),"-",
IF(AND(M57="03",N57&gt;=L_Conversion!$C$120,N57&lt;=L_Conversion!$D$120),"-",
IF(AND(M57="04",N57&gt;=L_Conversion!$C$121,N57&lt;=L_Conversion!$D$121),"-",
IF(AND(M57="05",N57&gt;=L_Conversion!$C$122,N57&lt;=L_Conversion!$D$122),"-",
IF(AND(M57="06",N57&gt;=L_Conversion!$C$123,N57&lt;=L_Conversion!$D$123),"-",
IF(AND(M57="07",N57&gt;=L_Conversion!$C$124,N57&lt;=L_Conversion!$D$124),"-",
IF(AND(M57="08",N57&gt;=L_Conversion!$C$125,N57&lt;=L_Conversion!$D$125),"-",
IF(AND(M57="09",N57&gt;=L_Conversion!$C$126,N57&lt;=L_Conversion!$D$126),"-",
IF(AND(M57="10",N57&gt;=L_Conversion!$C$127,N57&lt;=L_Conversion!$D$127),"-",
IF(AND(M57="11",N57&gt;=L_Conversion!$C$128,N57&lt;=L_Conversion!$D$128),"-",
IF(AND(M57="12",N57&gt;=L_Conversion!$C$129,N57&lt;=L_Conversion!$D$129),"-",
IF(AND(M57="13",N57&gt;=L_Conversion!$C$116,N57&lt;=L_Conversion!$D$116),"-",
IF(AND(M57="14",N57&gt;=L_Conversion!$C$117,N57&lt;=L_Conversion!$D$117),"-",
"PRIMER_DIA fuera de rango")))))))))))))))</f>
        <v>-</v>
      </c>
      <c r="AS57" s="86" t="str">
        <f t="shared" si="13"/>
        <v>-</v>
      </c>
      <c r="AT57" s="86" t="str">
        <f t="shared" si="14"/>
        <v>-</v>
      </c>
      <c r="AU57" s="86" t="str">
        <f t="shared" si="15"/>
        <v>-</v>
      </c>
      <c r="AV57" s="86" t="str">
        <f t="shared" si="16"/>
        <v>-</v>
      </c>
      <c r="AW57" s="86" t="str">
        <f t="shared" si="17"/>
        <v>-</v>
      </c>
      <c r="AX57" s="86" t="str">
        <f t="shared" si="18"/>
        <v>-</v>
      </c>
      <c r="AY57" s="86" t="str">
        <f t="shared" si="19"/>
        <v>-</v>
      </c>
      <c r="AZ57" s="86" t="str">
        <f t="shared" si="20"/>
        <v>-</v>
      </c>
      <c r="BA57" s="86" t="str">
        <f t="shared" si="21"/>
        <v>-</v>
      </c>
      <c r="BB57" s="86" t="str">
        <f t="shared" si="22"/>
        <v>-</v>
      </c>
      <c r="BC57" s="86" t="str">
        <f t="shared" si="23"/>
        <v>-</v>
      </c>
      <c r="BD57" s="86" t="str">
        <f t="shared" si="24"/>
        <v>-</v>
      </c>
      <c r="BE57" s="86" t="str">
        <f t="shared" si="25"/>
        <v>-</v>
      </c>
      <c r="BF57" s="86" t="str">
        <f t="shared" si="26"/>
        <v>-</v>
      </c>
    </row>
    <row r="58" spans="1:58" x14ac:dyDescent="0.2">
      <c r="A58" s="80" t="s">
        <v>1144</v>
      </c>
      <c r="B58" s="92" t="s">
        <v>76</v>
      </c>
      <c r="C58" s="202">
        <v>13227546</v>
      </c>
      <c r="D58" s="203">
        <v>7</v>
      </c>
      <c r="E58" s="204" t="s">
        <v>1317</v>
      </c>
      <c r="F58" s="204" t="s">
        <v>1198</v>
      </c>
      <c r="G58" s="204" t="s">
        <v>1318</v>
      </c>
      <c r="H58" s="205" t="s">
        <v>1033</v>
      </c>
      <c r="I58" s="205" t="s">
        <v>662</v>
      </c>
      <c r="J58" s="203">
        <v>80</v>
      </c>
      <c r="K58" s="204" t="s">
        <v>563</v>
      </c>
      <c r="L58" s="206" t="s">
        <v>502</v>
      </c>
      <c r="M58" s="210" t="s">
        <v>18</v>
      </c>
      <c r="N58" s="211">
        <v>45672</v>
      </c>
      <c r="O58" s="207">
        <v>1</v>
      </c>
      <c r="P58" s="203">
        <v>1</v>
      </c>
      <c r="Q58" s="205" t="s">
        <v>23</v>
      </c>
      <c r="R58" s="205" t="s">
        <v>11</v>
      </c>
      <c r="S58" s="205" t="s">
        <v>23</v>
      </c>
      <c r="T58" s="207">
        <v>1</v>
      </c>
      <c r="U58" s="208" t="s">
        <v>11</v>
      </c>
      <c r="V58" s="212" t="s">
        <v>19</v>
      </c>
      <c r="W58" s="212" t="s">
        <v>19</v>
      </c>
      <c r="X58" s="209">
        <v>19907</v>
      </c>
      <c r="Y58" s="213" t="s">
        <v>735</v>
      </c>
      <c r="Z58" s="209">
        <v>1</v>
      </c>
      <c r="AA58" s="209">
        <v>19907</v>
      </c>
      <c r="AB58" s="209">
        <v>19907</v>
      </c>
      <c r="AC58" s="178" t="str">
        <f>IF(OR(M58="13",M58="14",P58=8),"",IF(AND(OR(S58="AUTORIZADO", S58="PENDIENTE", S58="REDUCIDO", S58="AMPLIADO"),L58&lt;&gt;"HONORARIO" ), CONCATENATE(IF(H58="X","H",H58),"_",IF(OR(P58=5,P58=6),_xlfn.CONCAT(P58,"A"),P58),"_",VLOOKUP(T58,Datos!$B$2:$C$5,2,TRUE)),""))</f>
        <v>M_1_[hasta 3]</v>
      </c>
      <c r="AD58" s="178">
        <f t="shared" ref="AD58:AD121" si="27">IF(AC58="",0,AA58+AB58)</f>
        <v>39814</v>
      </c>
      <c r="AE58" s="82" t="str">
        <f t="shared" ref="AE58:AE121" si="28">IF(A58="","Celda vacía",IF(A58="L","-","Revisar"))</f>
        <v>-</v>
      </c>
      <c r="AF58" s="83" t="str">
        <f t="shared" ref="AF58:AF121" si="29">IF(B58="","Celda vacía",IF(LEN(B58)=4,REPLACE(B58,1,6,CONCATENATE("00",B58)),IF(LEN(B58)=5,REPLACE(B58,1,6,CONCATENATE("0",B58)),IF(LEN(B58)=6,REPLACE(B58,1,6,B58),IF(AND(LEN(B58)&gt;6,OR(LEFT(B58,4)="1202", LEFT(B58,4)="1703")),REPLACE(B58,1,LEN(B58),B58),"Revisar")))))</f>
        <v>070601</v>
      </c>
      <c r="AG58" s="84"/>
      <c r="AH58" s="85" t="str">
        <f t="shared" ref="AH58:AH121" si="30">IF(B58="","Celda Vacía",IF(ISERROR(IF(B58="","",VLOOKUP(B58,Codigo,3,0))),"Corregir código servicio",IF(B58="","",VLOOKUP(B58,Codigo,3,0))))</f>
        <v>Corporación de Fomento de la Producción</v>
      </c>
      <c r="AI58" s="82" t="str">
        <f t="shared" ref="AI58:AI121" si="31">IF(C58="","Celda vacía",IF(C58&gt;1000000,"-","Revisar con Edad"))</f>
        <v>-</v>
      </c>
      <c r="AJ58" s="82">
        <f t="shared" ref="AJ58:AJ121" si="32">IF(D58="","Celda vacía",IF(IF(IF(LEN(C58)=6,(11-((RIGHT(C58,1)*2+MID(C58,5,1)*3+MID(C58,4,1)*4+MID(C58,3,1)*5+MID(C58,2,1)*6+LEFT(C58,1)*7)-(INT((RIGHT(C58,1)*2+MID(C58,5,1)*3+MID(C58,4,1)*4+MID(C58,3,1)*5+MID(C58,2,1)*6+LEFT(C58,1)*7)/11)*11))),IF(LEN(C58)=7,(11-((RIGHT(C58,1)*2+MID(C58,6,1)*3+MID(C58,5,1)*4+MID(C58,4,1)*5+MID(C58,3,1)*6+MID(C58,2,1)*7+LEFT(C58,1)*2)-(INT((RIGHT(C58,1)*2+MID(C58,6,1)*3+MID(C58,5,1)*4+MID(C58,4,1)*5+MID(C58,3,1)*6+MID(C58,2,1)*7+LEFT(C58,1)*2)/11)*11))),(11-((RIGHT(C58,1)*2+MID(C58,7,1)*3+MID(C58,6,1)*4+MID(C58,5,1)*5+MID(C58,4,1)*6+MID(C58,3,1)*7+MID(C58,2,1)*2+LEFT(C58,1)*3)-(INT((RIGHT(C58,1)*2+MID(C58,7,1)*3+MID(C58,6,1)*4+MID(C58,5,1)*5+MID(C58,4,1)*6+MID(C58,3,1)*7+MID(C58,2,1)*2+LEFT(C58,1)*3)/11)*11)))))=11,0,IF(LEN(C58)=6,(11-((RIGHT(C58,1)*2+MID(C58,5,1)*3+MID(C58,4,1)*4+MID(C58,3,1)*5+MID(C58,2,1)*6+LEFT(C58,1)*7)-(INT((RIGHT(C58,1)*2+MID(C58,5,1)*3+MID(C58,4,1)*4+MID(C58,3,1)*5+MID(C58,2,1)*6+LEFT(C58,1)*7)/11)*11))),IF(LEN(C58)=7,(11-((RIGHT(C58,1)*2+MID(C58,6,1)*3+MID(C58,5,1)*4+MID(C58,4,1)*5+MID(C58,3,1)*6+MID(C58,2,1)*7+LEFT(C58,1)*2)-(INT((RIGHT(C58,1)*2+MID(C58,6,1)*3+MID(C58,5,1)*4+MID(C58,4,1)*5+MID(C58,3,1)*6+MID(C58,2,1)*7+LEFT(C58,1)*2)/11)*11))),(11-((RIGHT(C58,1)*2+MID(C58,7,1)*3+MID(C58,6,1)*4+MID(C58,5,1)*5+MID(C58,4,1)*6+MID(C58,3,1)*7+MID(C58,2,1)*2+LEFT(C58,1)*3)-(INT((RIGHT(C58,1)*2+MID(C58,7,1)*3+MID(C58,6,1)*4+MID(C58,5,1)*5+MID(C58,4,1)*6+MID(C58,3,1)*7+MID(C58,2,1)*2+LEFT(C58,1)*3)/11)*11))))))=10,"K",IF(IF(LEN(C58)=6,(11-((RIGHT(C58,1)*2+MID(C58,5,1)*3+MID(C58,4,1)*4+MID(C58,3,1)*5+MID(C58,2,1)*6+LEFT(C58,1)*7)-(INT((RIGHT(C58,1)*2+MID(C58,5,1)*3+MID(C58,4,1)*4+MID(C58,3,1)*5+MID(C58,2,1)*6+LEFT(C58,1)*7)/11)*11))),IF(LEN(C58)=7,(11-((RIGHT(C58,1)*2+MID(C58,6,1)*3+MID(C58,5,1)*4+MID(C58,4,1)*5+MID(C58,3,1)*6+MID(C58,2,1)*7+LEFT(C58,1)*2)-(INT((RIGHT(C58,1)*2+MID(C58,6,1)*3+MID(C58,5,1)*4+MID(C58,4,1)*5+MID(C58,3,1)*6+MID(C58,2,1)*7+LEFT(C58,1)*2)/11)*11))),(11-((RIGHT(C58,1)*2+MID(C58,7,1)*3+MID(C58,6,1)*4+MID(C58,5,1)*5+MID(C58,4,1)*6+MID(C58,3,1)*7+MID(C58,2,1)*2+LEFT(C58,1)*3)-(INT((RIGHT(C58,1)*2+MID(C58,7,1)*3+MID(C58,6,1)*4+MID(C58,5,1)*5+MID(C58,4,1)*6+MID(C58,3,1)*7+MID(C58,2,1)*2+LEFT(C58,1)*3)/11)*11)))))=11,0,IF(LEN(C58)=6,(11-((RIGHT(C58,1)*2+MID(C58,5,1)*3+MID(C58,4,1)*4+MID(C58,3,1)*5+MID(C58,2,1)*6+LEFT(C58,1)*7)-(INT((RIGHT(C58,1)*2+MID(C58,5,1)*3+MID(C58,4,1)*4+MID(C58,3,1)*5+MID(C58,2,1)*6+LEFT(C58,1)*7)/11)*11))),IF(LEN(C58)=7,(11-((RIGHT(C58,1)*2+MID(C58,6,1)*3+MID(C58,5,1)*4+MID(C58,4,1)*5+MID(C58,3,1)*6+MID(C58,2,1)*7+LEFT(C58,1)*2)-(INT((RIGHT(C58,1)*2+MID(C58,6,1)*3+MID(C58,5,1)*4+MID(C58,4,1)*5+MID(C58,3,1)*6+MID(C58,2,1)*7+LEFT(C58,1)*2)/11)*11))),(11-((RIGHT(C58,1)*2+MID(C58,7,1)*3+MID(C58,6,1)*4+MID(C58,5,1)*5+MID(C58,4,1)*6+MID(C58,3,1)*7+MID(C58,2,1)*2+LEFT(C58,1)*3)-(INT((RIGHT(C58,1)*2+MID(C58,7,1)*3+MID(C58,6,1)*4+MID(C58,5,1)*5+MID(C58,4,1)*6+MID(C58,3,1)*7+MID(C58,2,1)*2+LEFT(C58,1)*3)/11)*11))))))))</f>
        <v>7</v>
      </c>
      <c r="AK58" s="82" t="str">
        <f t="shared" ref="AK58:AK121" si="33">IF(C58="","Celda vacía",IF(C58="E","-",IF(IF(AJ58=11,0,IF(AJ58=10,"K",AJ58))=D58,"-","Corregir RUN")))</f>
        <v>-</v>
      </c>
      <c r="AL58" s="82" t="str">
        <f t="shared" ref="AL58:AL121" si="34">IF(H58="","Celda vacía",IF(OR(H58="M",H58="H",H58="X"),  IF(H58="M", "Identifica este registro como MUJER",  IF(H58="H","Identifica este registro como HOMBRE", IF(H58="X","Identifica este registro como NO BINARIO"))),  "Validar con Tabla N°01")   )</f>
        <v>Identifica este registro como MUJER</v>
      </c>
      <c r="AM58" s="82" t="str">
        <f t="shared" ref="AM58:AM121" si="35">IF(I58="","Celda vacía",IF(ISERROR(VLOOKUP(I58,Tabla_27_Matriz_Base,1,0)),"Revisar","-"))</f>
        <v>-</v>
      </c>
      <c r="AN58" s="82" t="str">
        <f t="shared" ref="AN58:AN121" si="36">IF(J58="","Celda vacía",IF(ISERROR(VLOOKUP(J58,Tabla_04_Sist.Rem,1,0)),"Revisar","-"))</f>
        <v>-</v>
      </c>
      <c r="AO58" s="82" t="str">
        <f t="shared" ref="AO58:AO121" si="37">IF(J58="","SIST_REM vacío, no permite validar estamento",IF(OR(J58=10,J58=40,J58=60,J58=70),IF(ISERROR(VLOOKUP(K58,Tabla_06_10_40_60_70_EUS,1,0)),"Revisar. Estamento no corresponde a sist. Rem.","-"),
IF(AND(A58="l",J58=11,K58="DIRECTIVO"),"Dual",
IF(OR(J58=11,J58=12),IF(ISERROR(VLOOKUP(K58,Tabla_06_11_12_15076_19664,1,0)),"Revisar. Estamento no corresponde a sist. Rem.","-"),
IF(J58=13,IF(ISERROR(VLOOKUP(K58,Tabla_06_13,1,0)),"Revisar. Estamento no corresponde a sist. Rem.","-"),
IF(J58=14,IF(ISERROR(VLOOKUP(K58,Tabla_06_14,1,0)),"Revisar. Estamento no corresponde a sist. Rem.","-"),
IF(J58=15,IF(ISERROR(VLOOKUP(K58,Tabla_06_15,1,0)),"Revisar. Estamento no corresponde a sist. Rem.","-"),
IF(OR(J58=90),IF(ISERROR(VLOOKUP(K58,Tabla_06_90_Personal_Fuera_de_Dotacion,1,0)),"Revisar. Estamento no corresponde a sist. Rem.","-"),
IF(J58=61,IF(ISERROR(VLOOKUP(K58,Tabla_06_DFL29_61_Experimentales,1,0)),"Revisar. Estamento no corresponde a sist. Rem.","-"),IF(J58=20,IF(ISERROR(VLOOKUP(K58,Tabla_06_20_Fiscalizadores,1,0)),"Revisar. Estamento no corresponde a sist. Rem.","-"),IF(J58=80,IF(ISERROR(VLOOKUP(K58,Tabla_06_80_Codigo_del_Trabajo,1,0)),"Revisar. Estamento no corresponde a sist. Rem.","-"),                    IF(J58=30,IF(ISERROR(VLOOKUP(K58,Tabla_06_30_Poder_Judicial,1,0)),"Revisar. Estamento no corresponde a sist. Rem.","-"),IF(ISERROR(VLOOKUP(K58,Tabla_06_50_Ministerio_Publico,1,0)),"Revisar","-")))))))))))))</f>
        <v>-</v>
      </c>
      <c r="AP58" s="57" t="str">
        <f t="shared" ref="AP58:AP121" si="38">IF(L58="","Celda vacía",IF(ISERROR(VLOOKUP(L58,Tabla_Personal,1,0)),"Revisar","-"))</f>
        <v>-</v>
      </c>
      <c r="AQ58" s="86" t="str">
        <f t="shared" ref="AQ58:AQ121" si="39">IF(M58="","Celda vacía",IF(ISERROR(VLOOKUP(M58,Tabla_01_Mes,1,0)),"Revisar","-"))</f>
        <v>-</v>
      </c>
      <c r="AR58" s="86" t="str">
        <f>IF(N58="","PRIMER_DIA en blanco",
IF(AND(M58="01",N58&gt;=L_Conversion!$C$118,N58&lt;=L_Conversion!$D$118),"-",
IF(AND(M58="02",N58&gt;=L_Conversion!$C$119,N58&lt;=L_Conversion!$D$119),"-",
IF(AND(M58="03",N58&gt;=L_Conversion!$C$120,N58&lt;=L_Conversion!$D$120),"-",
IF(AND(M58="04",N58&gt;=L_Conversion!$C$121,N58&lt;=L_Conversion!$D$121),"-",
IF(AND(M58="05",N58&gt;=L_Conversion!$C$122,N58&lt;=L_Conversion!$D$122),"-",
IF(AND(M58="06",N58&gt;=L_Conversion!$C$123,N58&lt;=L_Conversion!$D$123),"-",
IF(AND(M58="07",N58&gt;=L_Conversion!$C$124,N58&lt;=L_Conversion!$D$124),"-",
IF(AND(M58="08",N58&gt;=L_Conversion!$C$125,N58&lt;=L_Conversion!$D$125),"-",
IF(AND(M58="09",N58&gt;=L_Conversion!$C$126,N58&lt;=L_Conversion!$D$126),"-",
IF(AND(M58="10",N58&gt;=L_Conversion!$C$127,N58&lt;=L_Conversion!$D$127),"-",
IF(AND(M58="11",N58&gt;=L_Conversion!$C$128,N58&lt;=L_Conversion!$D$128),"-",
IF(AND(M58="12",N58&gt;=L_Conversion!$C$129,N58&lt;=L_Conversion!$D$129),"-",
IF(AND(M58="13",N58&gt;=L_Conversion!$C$116,N58&lt;=L_Conversion!$D$116),"-",
IF(AND(M58="14",N58&gt;=L_Conversion!$C$117,N58&lt;=L_Conversion!$D$117),"-",
"PRIMER_DIA fuera de rango")))))))))))))))</f>
        <v>-</v>
      </c>
      <c r="AS58" s="86" t="str">
        <f t="shared" ref="AS58:AS121" si="40">IF(O58="","Celda vacía",IF(AND(ISERROR(VLOOKUP(P58,Tabla_18_Tipos_licencias,1,FALSE))=FALSE,O58&gt;=0,O58&lt;=365),IF(P58=8,IF(H58="M",IF(ISERROR(VLOOKUP(O58,Dias_Licencia_Tipo_8_M,1,0)),"Revisar días licencia tipo 8","-"),IF(ISERROR(VLOOKUP(O58,Dias_licencia_tipo_8_H,1,0)),"Revisar días licencia tipo 8","-")),"-"),"Se debe revisar los campos TIPO_LM y N_DIAS"))</f>
        <v>-</v>
      </c>
      <c r="AT58" s="86" t="str">
        <f t="shared" ref="AT58:AT121" si="41">IF(P58="","Celda vacía",IF(ISERROR(VLOOKUP(P58,Tabla_18_Tipos_licencias,1,FALSE))=FALSE,IF(H58="M","-",IF(P58=7,"Revisar","-")),"Revisar"))</f>
        <v>-</v>
      </c>
      <c r="AU58" s="86" t="str">
        <f t="shared" ref="AU58:AU121" si="42">IF(Q58="","Celda vacía",IF(AND(OR(L58="HAG",L58="HONORARIO"),OR(Q58="AUTORIZADO",Q58="REDUCIDO",Q58="RECHAZADO",Q58="PENDIENTE",Q58="AMPLIADO")),"Revisar Calidad Jurídica",IF(AND(OR(L58="HAG",L58="HONORARIO"),Q58="NC"),"-",IF(ISERROR(VLOOKUP(Q58,Tabla_04_Estado_Resolucion,1,0)),"Revisar",IF(AND(Q58="PENDIENTE",($BG$1-N58)&gt;60),"Validar estado PENDIENTE",  IF(AND(OR(L58="CONTRATA",L58="PLANTA", L58="CT", L58="JP", L58="JORNAL", L58="CONTRATA_FD", L58="CT_FD", L58="ADSCRITO", L58="LGN", L58="VIGILANTE", L58="BECARIOS", L58="PLANTA_FD"),Q58&lt;&gt;"NC"),"-","Revisar Calidad Jurídica"))))))</f>
        <v>-</v>
      </c>
      <c r="AV58" s="86" t="str">
        <f t="shared" ref="AV58:AV121" si="43">IF(R58="","Celda vacía",IF(AND(OR(Q58="AUTORIZADO",Q58="PENDIENTE",Q58="NC",Q58="AMPLIADO"),R58="N"),"-",IF(AND(OR(Q58="REDUCIDO",Q58="RECHAZADO"),OR(R58="S",R58="N")),"-","Revisar")))</f>
        <v>-</v>
      </c>
      <c r="AW58" s="86" t="str">
        <f t="shared" ref="AW58:AW121" si="44">IF(Q58="","Celda vacía",IF(AND(R58="N",Q58=S58),"-",IF(AND(S58="PENDIENTE",($BG$1-N58)&gt;60),"Validar estado PENDIENTE",IF(AND(R58="S",OR(S58="AUTORIZADO",S58="PENDIENTE"),T58=O58),"-",IF(AND(R58="S",S58="REDUCIDO",T58&lt;O58,T58&gt;0),"-",IF(AND(R58="S",S58="RECHAZADO",T58=0),"-",IF(AND(Q58="NC",S58="NC",T58=O58),"-","Revisar")))))))</f>
        <v>-</v>
      </c>
      <c r="AX58" s="86" t="str">
        <f t="shared" ref="AX58:AX121" si="45">IF(T58="","Celda Vacía",IF(AND(OR(S58="AUTORIZADO",S58="PENDIENTE",S58="NC"),O58=T58),"-",IF(AND(S58="REDUCIDO",T58&gt;0,T58&lt;O58),"-",IF(AND(S58="RECHAZADO",T58=0),"-",   IF(AND(S58="AMPLIADO",T58&gt;O58),"-",       "Revisar" )))))</f>
        <v>-</v>
      </c>
      <c r="AY58" s="86" t="str">
        <f t="shared" ref="AY58:AY121" si="46">IF(U58="","Celda vacía",IF(OR(U58="S",U58="N"),"-","Revisar"))</f>
        <v>-</v>
      </c>
      <c r="AZ58" s="86" t="str">
        <f t="shared" ref="AZ58:AZ121" si="47">IF(V58="","Celda vacía",IF(OR(V58="S",V58="N"),"-","Revisar"))</f>
        <v>-</v>
      </c>
      <c r="BA58" s="86" t="str">
        <f t="shared" ref="BA58:BA121" si="48">IF(W58="","Celda vacía",IF(OR(W58="S",W58="N"),"-","Revisar"))</f>
        <v>-</v>
      </c>
      <c r="BB58" s="86" t="str">
        <f t="shared" ref="BB58:BB121" si="49">IF(X58="","Celda Vacia",IF(  OR(          AND(X58=0,W58="S"),AND(X58&lt;&gt;0,W58="N")),"Revisar valor del campo MONTO_SUB","-"))</f>
        <v>-</v>
      </c>
      <c r="BC58" s="86" t="str">
        <f t="shared" ref="BC58:BC121" si="50">IF(Y58="","Celda Vacia",IF(ISERROR(VLOOKUP(Y58,Tabla_33_estado_recuperacion,1,FALSE)),"Se debe corregir el valor según Tabla Nro 33",IF(Y58="SDR",IF(OR(S58="RECHAZADO",W58="N"),"-","Se debe revisar  ESTADO SDR"),IF(Y58="PEN",IF(OR(S58="AUTORIZADO",S58="REDUCIDO",S58="PENDIENTE"),"-","Se debe revisar ESTADO PEN"),IF(AND(OR(W58="S",W58="N"),OR(Y58="TOT",Y58="PAR"),OR(S58="AUTORIZADO",S58="REDUCIDO")),"-","Revisar ER2 Y ESTADO_REC")))))</f>
        <v>-</v>
      </c>
      <c r="BD58" s="86" t="str">
        <f t="shared" ref="BD58:BD121" si="51">IF(Z58="","Celda Vacia", IF(Z58&gt;T58,"Dias recuperados no puede ser mayor a dias autorizados", IF(ISNUMBER(Z58)=TRUE,IF(Z58=0,IF(OR(Y58="SDR",Y58="PEN"),"-",IF(AND(T58&lt;4,OR(Y58="TOT",Y58="PAR")),"-","Se debe revisar los Campos N_DIAS_REC y ESTADO_REC")),IF(AND(Z58&gt;0,Z58&lt;366,OR(Y58="TOT",Y58="PAR")),"-","Se debe revisar los campos ESTADO_REC y N_DIAS_REC")),"Valor del campo N_DIAS_REC no es numérico"))    )</f>
        <v>-</v>
      </c>
      <c r="BE58" s="86" t="str">
        <f t="shared" ref="BE58:BE121" si="52">IF(AA58="","Celda vacia",
IF( AND(AA58=0,(OR(Y58="PEN",Y58="SDR"))),"-",
IF(AND(T58&lt;4,OR(P58="5A",P58="5B",P58="6A",P58="6B"),AA58&gt;=0),"-",
IF(AND(T58&lt;4,P58&lt;&gt;"5A",P58&lt;&gt;"5B",P58&lt;&gt;"6A",P58&lt;&gt;"6B",AA58=0),"-",
IF(AND(T58&lt;4,P58&lt;&gt;"5A",P58&lt;&gt;"5B",P58&lt;&gt;"6A",P58&lt;&gt;"6B",V58="S",AA58&gt;=0),"-",
IF(AND(T58&gt;=4,AA58&gt;0, OR(Y58="TOT",Y58="PAR")),"-",
"Revisar el tipo de licencia medica, dias de licencia para el monto de recuperación declarado"))))))</f>
        <v>-</v>
      </c>
      <c r="BF58" s="86" t="str">
        <f t="shared" ref="BF58:BF121" si="53">IF(AB58="","Celda vacia",IF(ISNUMBER(AB58)=TRUE,IF(AB58=0,IF(OR(Y58="PEN",Y58="SDR"),"-","revisar "),IF(OR(Y58="TOT",Y58="PAR"),"-","Revisar")),"Valor del campo no es numérico"))</f>
        <v>-</v>
      </c>
    </row>
    <row r="59" spans="1:58" x14ac:dyDescent="0.2">
      <c r="A59" s="80" t="s">
        <v>1144</v>
      </c>
      <c r="B59" s="92" t="s">
        <v>76</v>
      </c>
      <c r="C59" s="202">
        <v>16976511</v>
      </c>
      <c r="D59" s="203">
        <v>1</v>
      </c>
      <c r="E59" s="204" t="s">
        <v>1319</v>
      </c>
      <c r="F59" s="204" t="s">
        <v>1153</v>
      </c>
      <c r="G59" s="204" t="s">
        <v>1320</v>
      </c>
      <c r="H59" s="205" t="s">
        <v>1033</v>
      </c>
      <c r="I59" s="205" t="s">
        <v>662</v>
      </c>
      <c r="J59" s="203">
        <v>80</v>
      </c>
      <c r="K59" s="204" t="s">
        <v>563</v>
      </c>
      <c r="L59" s="206" t="s">
        <v>502</v>
      </c>
      <c r="M59" s="210" t="s">
        <v>18</v>
      </c>
      <c r="N59" s="211">
        <v>45672</v>
      </c>
      <c r="O59" s="207">
        <v>3</v>
      </c>
      <c r="P59" s="203">
        <v>1</v>
      </c>
      <c r="Q59" s="205" t="s">
        <v>23</v>
      </c>
      <c r="R59" s="205" t="s">
        <v>11</v>
      </c>
      <c r="S59" s="205" t="s">
        <v>23</v>
      </c>
      <c r="T59" s="207">
        <v>3</v>
      </c>
      <c r="U59" s="208" t="s">
        <v>11</v>
      </c>
      <c r="V59" s="212" t="s">
        <v>19</v>
      </c>
      <c r="W59" s="212" t="s">
        <v>19</v>
      </c>
      <c r="X59" s="209">
        <v>50251</v>
      </c>
      <c r="Y59" s="213" t="s">
        <v>735</v>
      </c>
      <c r="Z59" s="209">
        <v>3</v>
      </c>
      <c r="AA59" s="209">
        <v>50251</v>
      </c>
      <c r="AB59" s="209">
        <v>50251</v>
      </c>
      <c r="AC59" s="178" t="str">
        <f>IF(OR(M59="13",M59="14",P59=8),"",IF(AND(OR(S59="AUTORIZADO", S59="PENDIENTE", S59="REDUCIDO", S59="AMPLIADO"),L59&lt;&gt;"HONORARIO" ), CONCATENATE(IF(H59="X","H",H59),"_",IF(OR(P59=5,P59=6),_xlfn.CONCAT(P59,"A"),P59),"_",VLOOKUP(T59,Datos!$B$2:$C$5,2,TRUE)),""))</f>
        <v>M_1_[hasta 3]</v>
      </c>
      <c r="AD59" s="178">
        <f t="shared" si="27"/>
        <v>100502</v>
      </c>
      <c r="AE59" s="82" t="str">
        <f t="shared" si="28"/>
        <v>-</v>
      </c>
      <c r="AF59" s="83" t="str">
        <f t="shared" si="29"/>
        <v>070601</v>
      </c>
      <c r="AG59" s="84"/>
      <c r="AH59" s="85" t="str">
        <f t="shared" si="30"/>
        <v>Corporación de Fomento de la Producción</v>
      </c>
      <c r="AI59" s="82" t="str">
        <f t="shared" si="31"/>
        <v>-</v>
      </c>
      <c r="AJ59" s="82">
        <f t="shared" si="32"/>
        <v>1</v>
      </c>
      <c r="AK59" s="82" t="str">
        <f t="shared" si="33"/>
        <v>-</v>
      </c>
      <c r="AL59" s="82" t="str">
        <f t="shared" si="34"/>
        <v>Identifica este registro como MUJER</v>
      </c>
      <c r="AM59" s="82" t="str">
        <f t="shared" si="35"/>
        <v>-</v>
      </c>
      <c r="AN59" s="82" t="str">
        <f t="shared" si="36"/>
        <v>-</v>
      </c>
      <c r="AO59" s="82" t="str">
        <f t="shared" si="37"/>
        <v>-</v>
      </c>
      <c r="AP59" s="57" t="str">
        <f t="shared" si="38"/>
        <v>-</v>
      </c>
      <c r="AQ59" s="86" t="str">
        <f t="shared" si="39"/>
        <v>-</v>
      </c>
      <c r="AR59" s="86" t="str">
        <f>IF(N59="","PRIMER_DIA en blanco",
IF(AND(M59="01",N59&gt;=L_Conversion!$C$118,N59&lt;=L_Conversion!$D$118),"-",
IF(AND(M59="02",N59&gt;=L_Conversion!$C$119,N59&lt;=L_Conversion!$D$119),"-",
IF(AND(M59="03",N59&gt;=L_Conversion!$C$120,N59&lt;=L_Conversion!$D$120),"-",
IF(AND(M59="04",N59&gt;=L_Conversion!$C$121,N59&lt;=L_Conversion!$D$121),"-",
IF(AND(M59="05",N59&gt;=L_Conversion!$C$122,N59&lt;=L_Conversion!$D$122),"-",
IF(AND(M59="06",N59&gt;=L_Conversion!$C$123,N59&lt;=L_Conversion!$D$123),"-",
IF(AND(M59="07",N59&gt;=L_Conversion!$C$124,N59&lt;=L_Conversion!$D$124),"-",
IF(AND(M59="08",N59&gt;=L_Conversion!$C$125,N59&lt;=L_Conversion!$D$125),"-",
IF(AND(M59="09",N59&gt;=L_Conversion!$C$126,N59&lt;=L_Conversion!$D$126),"-",
IF(AND(M59="10",N59&gt;=L_Conversion!$C$127,N59&lt;=L_Conversion!$D$127),"-",
IF(AND(M59="11",N59&gt;=L_Conversion!$C$128,N59&lt;=L_Conversion!$D$128),"-",
IF(AND(M59="12",N59&gt;=L_Conversion!$C$129,N59&lt;=L_Conversion!$D$129),"-",
IF(AND(M59="13",N59&gt;=L_Conversion!$C$116,N59&lt;=L_Conversion!$D$116),"-",
IF(AND(M59="14",N59&gt;=L_Conversion!$C$117,N59&lt;=L_Conversion!$D$117),"-",
"PRIMER_DIA fuera de rango")))))))))))))))</f>
        <v>-</v>
      </c>
      <c r="AS59" s="86" t="str">
        <f t="shared" si="40"/>
        <v>-</v>
      </c>
      <c r="AT59" s="86" t="str">
        <f t="shared" si="41"/>
        <v>-</v>
      </c>
      <c r="AU59" s="86" t="str">
        <f t="shared" si="42"/>
        <v>-</v>
      </c>
      <c r="AV59" s="86" t="str">
        <f t="shared" si="43"/>
        <v>-</v>
      </c>
      <c r="AW59" s="86" t="str">
        <f t="shared" si="44"/>
        <v>-</v>
      </c>
      <c r="AX59" s="86" t="str">
        <f t="shared" si="45"/>
        <v>-</v>
      </c>
      <c r="AY59" s="86" t="str">
        <f t="shared" si="46"/>
        <v>-</v>
      </c>
      <c r="AZ59" s="86" t="str">
        <f t="shared" si="47"/>
        <v>-</v>
      </c>
      <c r="BA59" s="86" t="str">
        <f t="shared" si="48"/>
        <v>-</v>
      </c>
      <c r="BB59" s="86" t="str">
        <f t="shared" si="49"/>
        <v>-</v>
      </c>
      <c r="BC59" s="86" t="str">
        <f t="shared" si="50"/>
        <v>-</v>
      </c>
      <c r="BD59" s="86" t="str">
        <f t="shared" si="51"/>
        <v>-</v>
      </c>
      <c r="BE59" s="86" t="str">
        <f t="shared" si="52"/>
        <v>-</v>
      </c>
      <c r="BF59" s="86" t="str">
        <f t="shared" si="53"/>
        <v>-</v>
      </c>
    </row>
    <row r="60" spans="1:58" x14ac:dyDescent="0.2">
      <c r="A60" s="80" t="s">
        <v>1144</v>
      </c>
      <c r="B60" s="92" t="s">
        <v>76</v>
      </c>
      <c r="C60" s="202">
        <v>12935948</v>
      </c>
      <c r="D60" s="203" t="s">
        <v>1151</v>
      </c>
      <c r="E60" s="204" t="s">
        <v>1321</v>
      </c>
      <c r="F60" s="204" t="s">
        <v>1277</v>
      </c>
      <c r="G60" s="204" t="s">
        <v>1322</v>
      </c>
      <c r="H60" s="205" t="s">
        <v>1033</v>
      </c>
      <c r="I60" s="205" t="s">
        <v>662</v>
      </c>
      <c r="J60" s="203">
        <v>80</v>
      </c>
      <c r="K60" s="204" t="s">
        <v>563</v>
      </c>
      <c r="L60" s="206" t="s">
        <v>502</v>
      </c>
      <c r="M60" s="210" t="s">
        <v>18</v>
      </c>
      <c r="N60" s="211">
        <v>45672</v>
      </c>
      <c r="O60" s="207">
        <v>3</v>
      </c>
      <c r="P60" s="203">
        <v>1</v>
      </c>
      <c r="Q60" s="205" t="s">
        <v>23</v>
      </c>
      <c r="R60" s="205" t="s">
        <v>11</v>
      </c>
      <c r="S60" s="205" t="s">
        <v>23</v>
      </c>
      <c r="T60" s="207">
        <v>3</v>
      </c>
      <c r="U60" s="208" t="s">
        <v>11</v>
      </c>
      <c r="V60" s="212" t="s">
        <v>19</v>
      </c>
      <c r="W60" s="212" t="s">
        <v>19</v>
      </c>
      <c r="X60" s="209">
        <v>61637</v>
      </c>
      <c r="Y60" s="213" t="s">
        <v>735</v>
      </c>
      <c r="Z60" s="209">
        <v>3</v>
      </c>
      <c r="AA60" s="209">
        <v>61637</v>
      </c>
      <c r="AB60" s="209">
        <v>61637</v>
      </c>
      <c r="AC60" s="178" t="str">
        <f>IF(OR(M60="13",M60="14",P60=8),"",IF(AND(OR(S60="AUTORIZADO", S60="PENDIENTE", S60="REDUCIDO", S60="AMPLIADO"),L60&lt;&gt;"HONORARIO" ), CONCATENATE(IF(H60="X","H",H60),"_",IF(OR(P60=5,P60=6),_xlfn.CONCAT(P60,"A"),P60),"_",VLOOKUP(T60,Datos!$B$2:$C$5,2,TRUE)),""))</f>
        <v>M_1_[hasta 3]</v>
      </c>
      <c r="AD60" s="178">
        <f t="shared" si="27"/>
        <v>123274</v>
      </c>
      <c r="AE60" s="82" t="str">
        <f t="shared" si="28"/>
        <v>-</v>
      </c>
      <c r="AF60" s="83" t="str">
        <f t="shared" si="29"/>
        <v>070601</v>
      </c>
      <c r="AG60" s="84"/>
      <c r="AH60" s="85" t="str">
        <f t="shared" si="30"/>
        <v>Corporación de Fomento de la Producción</v>
      </c>
      <c r="AI60" s="82" t="str">
        <f t="shared" si="31"/>
        <v>-</v>
      </c>
      <c r="AJ60" s="82" t="str">
        <f t="shared" si="32"/>
        <v>K</v>
      </c>
      <c r="AK60" s="82" t="str">
        <f t="shared" si="33"/>
        <v>-</v>
      </c>
      <c r="AL60" s="82" t="str">
        <f t="shared" si="34"/>
        <v>Identifica este registro como MUJER</v>
      </c>
      <c r="AM60" s="82" t="str">
        <f t="shared" si="35"/>
        <v>-</v>
      </c>
      <c r="AN60" s="82" t="str">
        <f t="shared" si="36"/>
        <v>-</v>
      </c>
      <c r="AO60" s="82" t="str">
        <f t="shared" si="37"/>
        <v>-</v>
      </c>
      <c r="AP60" s="57" t="str">
        <f t="shared" si="38"/>
        <v>-</v>
      </c>
      <c r="AQ60" s="86" t="str">
        <f t="shared" si="39"/>
        <v>-</v>
      </c>
      <c r="AR60" s="86" t="str">
        <f>IF(N60="","PRIMER_DIA en blanco",
IF(AND(M60="01",N60&gt;=L_Conversion!$C$118,N60&lt;=L_Conversion!$D$118),"-",
IF(AND(M60="02",N60&gt;=L_Conversion!$C$119,N60&lt;=L_Conversion!$D$119),"-",
IF(AND(M60="03",N60&gt;=L_Conversion!$C$120,N60&lt;=L_Conversion!$D$120),"-",
IF(AND(M60="04",N60&gt;=L_Conversion!$C$121,N60&lt;=L_Conversion!$D$121),"-",
IF(AND(M60="05",N60&gt;=L_Conversion!$C$122,N60&lt;=L_Conversion!$D$122),"-",
IF(AND(M60="06",N60&gt;=L_Conversion!$C$123,N60&lt;=L_Conversion!$D$123),"-",
IF(AND(M60="07",N60&gt;=L_Conversion!$C$124,N60&lt;=L_Conversion!$D$124),"-",
IF(AND(M60="08",N60&gt;=L_Conversion!$C$125,N60&lt;=L_Conversion!$D$125),"-",
IF(AND(M60="09",N60&gt;=L_Conversion!$C$126,N60&lt;=L_Conversion!$D$126),"-",
IF(AND(M60="10",N60&gt;=L_Conversion!$C$127,N60&lt;=L_Conversion!$D$127),"-",
IF(AND(M60="11",N60&gt;=L_Conversion!$C$128,N60&lt;=L_Conversion!$D$128),"-",
IF(AND(M60="12",N60&gt;=L_Conversion!$C$129,N60&lt;=L_Conversion!$D$129),"-",
IF(AND(M60="13",N60&gt;=L_Conversion!$C$116,N60&lt;=L_Conversion!$D$116),"-",
IF(AND(M60="14",N60&gt;=L_Conversion!$C$117,N60&lt;=L_Conversion!$D$117),"-",
"PRIMER_DIA fuera de rango")))))))))))))))</f>
        <v>-</v>
      </c>
      <c r="AS60" s="86" t="str">
        <f t="shared" si="40"/>
        <v>-</v>
      </c>
      <c r="AT60" s="86" t="str">
        <f t="shared" si="41"/>
        <v>-</v>
      </c>
      <c r="AU60" s="86" t="str">
        <f t="shared" si="42"/>
        <v>-</v>
      </c>
      <c r="AV60" s="86" t="str">
        <f t="shared" si="43"/>
        <v>-</v>
      </c>
      <c r="AW60" s="86" t="str">
        <f t="shared" si="44"/>
        <v>-</v>
      </c>
      <c r="AX60" s="86" t="str">
        <f t="shared" si="45"/>
        <v>-</v>
      </c>
      <c r="AY60" s="86" t="str">
        <f t="shared" si="46"/>
        <v>-</v>
      </c>
      <c r="AZ60" s="86" t="str">
        <f t="shared" si="47"/>
        <v>-</v>
      </c>
      <c r="BA60" s="86" t="str">
        <f t="shared" si="48"/>
        <v>-</v>
      </c>
      <c r="BB60" s="86" t="str">
        <f t="shared" si="49"/>
        <v>-</v>
      </c>
      <c r="BC60" s="86" t="str">
        <f t="shared" si="50"/>
        <v>-</v>
      </c>
      <c r="BD60" s="86" t="str">
        <f t="shared" si="51"/>
        <v>-</v>
      </c>
      <c r="BE60" s="86" t="str">
        <f t="shared" si="52"/>
        <v>-</v>
      </c>
      <c r="BF60" s="86" t="str">
        <f t="shared" si="53"/>
        <v>-</v>
      </c>
    </row>
    <row r="61" spans="1:58" x14ac:dyDescent="0.2">
      <c r="A61" s="80" t="s">
        <v>1144</v>
      </c>
      <c r="B61" s="92" t="s">
        <v>76</v>
      </c>
      <c r="C61" s="202">
        <v>15664863</v>
      </c>
      <c r="D61" s="203">
        <v>9</v>
      </c>
      <c r="E61" s="204" t="s">
        <v>1323</v>
      </c>
      <c r="F61" s="204" t="s">
        <v>1162</v>
      </c>
      <c r="G61" s="204" t="s">
        <v>1324</v>
      </c>
      <c r="H61" s="205" t="s">
        <v>1033</v>
      </c>
      <c r="I61" s="205" t="s">
        <v>663</v>
      </c>
      <c r="J61" s="203">
        <v>80</v>
      </c>
      <c r="K61" s="204" t="s">
        <v>563</v>
      </c>
      <c r="L61" s="206" t="s">
        <v>516</v>
      </c>
      <c r="M61" s="210" t="s">
        <v>18</v>
      </c>
      <c r="N61" s="211">
        <v>45672</v>
      </c>
      <c r="O61" s="207">
        <v>30</v>
      </c>
      <c r="P61" s="203">
        <v>1</v>
      </c>
      <c r="Q61" s="205" t="s">
        <v>23</v>
      </c>
      <c r="R61" s="205" t="s">
        <v>11</v>
      </c>
      <c r="S61" s="205" t="s">
        <v>23</v>
      </c>
      <c r="T61" s="207">
        <v>30</v>
      </c>
      <c r="U61" s="208" t="s">
        <v>11</v>
      </c>
      <c r="V61" s="212" t="s">
        <v>11</v>
      </c>
      <c r="W61" s="212" t="s">
        <v>11</v>
      </c>
      <c r="X61" s="209">
        <v>0</v>
      </c>
      <c r="Y61" s="213" t="s">
        <v>741</v>
      </c>
      <c r="Z61" s="209">
        <v>0</v>
      </c>
      <c r="AA61" s="209">
        <v>0</v>
      </c>
      <c r="AB61" s="209">
        <v>0</v>
      </c>
      <c r="AC61" s="178" t="str">
        <f>IF(OR(M61="13",M61="14",P61=8),"",IF(AND(OR(S61="AUTORIZADO", S61="PENDIENTE", S61="REDUCIDO", S61="AMPLIADO"),L61&lt;&gt;"HONORARIO" ), CONCATENATE(IF(H61="X","H",H61),"_",IF(OR(P61=5,P61=6),_xlfn.CONCAT(P61,"A"),P61),"_",VLOOKUP(T61,Datos!$B$2:$C$5,2,TRUE)),""))</f>
        <v>M_1_[11 +]</v>
      </c>
      <c r="AD61" s="178">
        <f t="shared" si="27"/>
        <v>0</v>
      </c>
      <c r="AE61" s="82" t="str">
        <f t="shared" si="28"/>
        <v>-</v>
      </c>
      <c r="AF61" s="83" t="str">
        <f t="shared" si="29"/>
        <v>070601</v>
      </c>
      <c r="AG61" s="84"/>
      <c r="AH61" s="85" t="str">
        <f t="shared" si="30"/>
        <v>Corporación de Fomento de la Producción</v>
      </c>
      <c r="AI61" s="82" t="str">
        <f t="shared" si="31"/>
        <v>-</v>
      </c>
      <c r="AJ61" s="82">
        <f t="shared" si="32"/>
        <v>9</v>
      </c>
      <c r="AK61" s="82" t="str">
        <f t="shared" si="33"/>
        <v>-</v>
      </c>
      <c r="AL61" s="82" t="str">
        <f t="shared" si="34"/>
        <v>Identifica este registro como MUJER</v>
      </c>
      <c r="AM61" s="82" t="str">
        <f t="shared" si="35"/>
        <v>-</v>
      </c>
      <c r="AN61" s="82" t="str">
        <f t="shared" si="36"/>
        <v>-</v>
      </c>
      <c r="AO61" s="82" t="str">
        <f t="shared" si="37"/>
        <v>-</v>
      </c>
      <c r="AP61" s="57" t="str">
        <f t="shared" si="38"/>
        <v>-</v>
      </c>
      <c r="AQ61" s="86" t="str">
        <f t="shared" si="39"/>
        <v>-</v>
      </c>
      <c r="AR61" s="86" t="str">
        <f>IF(N61="","PRIMER_DIA en blanco",
IF(AND(M61="01",N61&gt;=L_Conversion!$C$118,N61&lt;=L_Conversion!$D$118),"-",
IF(AND(M61="02",N61&gt;=L_Conversion!$C$119,N61&lt;=L_Conversion!$D$119),"-",
IF(AND(M61="03",N61&gt;=L_Conversion!$C$120,N61&lt;=L_Conversion!$D$120),"-",
IF(AND(M61="04",N61&gt;=L_Conversion!$C$121,N61&lt;=L_Conversion!$D$121),"-",
IF(AND(M61="05",N61&gt;=L_Conversion!$C$122,N61&lt;=L_Conversion!$D$122),"-",
IF(AND(M61="06",N61&gt;=L_Conversion!$C$123,N61&lt;=L_Conversion!$D$123),"-",
IF(AND(M61="07",N61&gt;=L_Conversion!$C$124,N61&lt;=L_Conversion!$D$124),"-",
IF(AND(M61="08",N61&gt;=L_Conversion!$C$125,N61&lt;=L_Conversion!$D$125),"-",
IF(AND(M61="09",N61&gt;=L_Conversion!$C$126,N61&lt;=L_Conversion!$D$126),"-",
IF(AND(M61="10",N61&gt;=L_Conversion!$C$127,N61&lt;=L_Conversion!$D$127),"-",
IF(AND(M61="11",N61&gt;=L_Conversion!$C$128,N61&lt;=L_Conversion!$D$128),"-",
IF(AND(M61="12",N61&gt;=L_Conversion!$C$129,N61&lt;=L_Conversion!$D$129),"-",
IF(AND(M61="13",N61&gt;=L_Conversion!$C$116,N61&lt;=L_Conversion!$D$116),"-",
IF(AND(M61="14",N61&gt;=L_Conversion!$C$117,N61&lt;=L_Conversion!$D$117),"-",
"PRIMER_DIA fuera de rango")))))))))))))))</f>
        <v>-</v>
      </c>
      <c r="AS61" s="86" t="str">
        <f t="shared" si="40"/>
        <v>-</v>
      </c>
      <c r="AT61" s="86" t="str">
        <f t="shared" si="41"/>
        <v>-</v>
      </c>
      <c r="AU61" s="86" t="str">
        <f t="shared" si="42"/>
        <v>-</v>
      </c>
      <c r="AV61" s="86" t="str">
        <f t="shared" si="43"/>
        <v>-</v>
      </c>
      <c r="AW61" s="86" t="str">
        <f t="shared" si="44"/>
        <v>-</v>
      </c>
      <c r="AX61" s="86" t="str">
        <f t="shared" si="45"/>
        <v>-</v>
      </c>
      <c r="AY61" s="86" t="str">
        <f t="shared" si="46"/>
        <v>-</v>
      </c>
      <c r="AZ61" s="86" t="str">
        <f t="shared" si="47"/>
        <v>-</v>
      </c>
      <c r="BA61" s="86" t="str">
        <f t="shared" si="48"/>
        <v>-</v>
      </c>
      <c r="BB61" s="86" t="str">
        <f t="shared" si="49"/>
        <v>-</v>
      </c>
      <c r="BC61" s="86" t="str">
        <f t="shared" si="50"/>
        <v>-</v>
      </c>
      <c r="BD61" s="86" t="str">
        <f t="shared" si="51"/>
        <v>-</v>
      </c>
      <c r="BE61" s="86" t="str">
        <f t="shared" si="52"/>
        <v>-</v>
      </c>
      <c r="BF61" s="86" t="str">
        <f t="shared" si="53"/>
        <v>-</v>
      </c>
    </row>
    <row r="62" spans="1:58" x14ac:dyDescent="0.2">
      <c r="A62" s="80" t="s">
        <v>1144</v>
      </c>
      <c r="B62" s="92" t="s">
        <v>1220</v>
      </c>
      <c r="C62" s="202">
        <v>17073876</v>
      </c>
      <c r="D62" s="203">
        <v>4</v>
      </c>
      <c r="E62" s="204" t="s">
        <v>1264</v>
      </c>
      <c r="F62" s="204" t="s">
        <v>1183</v>
      </c>
      <c r="G62" s="204" t="s">
        <v>1325</v>
      </c>
      <c r="H62" s="205" t="s">
        <v>1033</v>
      </c>
      <c r="I62" s="205" t="s">
        <v>663</v>
      </c>
      <c r="J62" s="203">
        <v>80</v>
      </c>
      <c r="K62" s="204" t="s">
        <v>563</v>
      </c>
      <c r="L62" s="206" t="s">
        <v>516</v>
      </c>
      <c r="M62" s="210" t="s">
        <v>18</v>
      </c>
      <c r="N62" s="211">
        <v>45672</v>
      </c>
      <c r="O62" s="207">
        <v>1</v>
      </c>
      <c r="P62" s="203">
        <v>1</v>
      </c>
      <c r="Q62" s="205" t="s">
        <v>23</v>
      </c>
      <c r="R62" s="205" t="s">
        <v>11</v>
      </c>
      <c r="S62" s="205" t="s">
        <v>23</v>
      </c>
      <c r="T62" s="207">
        <v>1</v>
      </c>
      <c r="U62" s="208" t="s">
        <v>11</v>
      </c>
      <c r="V62" s="212" t="s">
        <v>19</v>
      </c>
      <c r="W62" s="212" t="s">
        <v>19</v>
      </c>
      <c r="X62" s="209">
        <v>12759</v>
      </c>
      <c r="Y62" s="213" t="s">
        <v>735</v>
      </c>
      <c r="Z62" s="209">
        <v>1</v>
      </c>
      <c r="AA62" s="209">
        <v>12759</v>
      </c>
      <c r="AB62" s="209">
        <v>12759</v>
      </c>
      <c r="AC62" s="178" t="str">
        <f>IF(OR(M62="13",M62="14",P62=8),"",IF(AND(OR(S62="AUTORIZADO", S62="PENDIENTE", S62="REDUCIDO", S62="AMPLIADO"),L62&lt;&gt;"HONORARIO" ), CONCATENATE(IF(H62="X","H",H62),"_",IF(OR(P62=5,P62=6),_xlfn.CONCAT(P62,"A"),P62),"_",VLOOKUP(T62,Datos!$B$2:$C$5,2,TRUE)),""))</f>
        <v>M_1_[hasta 3]</v>
      </c>
      <c r="AD62" s="178">
        <f t="shared" si="27"/>
        <v>25518</v>
      </c>
      <c r="AE62" s="82" t="str">
        <f t="shared" si="28"/>
        <v>-</v>
      </c>
      <c r="AF62" s="83" t="str">
        <f t="shared" si="29"/>
        <v>Revisar</v>
      </c>
      <c r="AG62" s="84"/>
      <c r="AH62" s="85" t="str">
        <f t="shared" si="30"/>
        <v>Corregir código servicio</v>
      </c>
      <c r="AI62" s="82" t="str">
        <f t="shared" si="31"/>
        <v>-</v>
      </c>
      <c r="AJ62" s="82">
        <f t="shared" si="32"/>
        <v>4</v>
      </c>
      <c r="AK62" s="82" t="str">
        <f t="shared" si="33"/>
        <v>-</v>
      </c>
      <c r="AL62" s="82" t="str">
        <f t="shared" si="34"/>
        <v>Identifica este registro como MUJER</v>
      </c>
      <c r="AM62" s="82" t="str">
        <f t="shared" si="35"/>
        <v>-</v>
      </c>
      <c r="AN62" s="82" t="str">
        <f t="shared" si="36"/>
        <v>-</v>
      </c>
      <c r="AO62" s="82" t="str">
        <f t="shared" si="37"/>
        <v>-</v>
      </c>
      <c r="AP62" s="57" t="str">
        <f t="shared" si="38"/>
        <v>-</v>
      </c>
      <c r="AQ62" s="86" t="str">
        <f t="shared" si="39"/>
        <v>-</v>
      </c>
      <c r="AR62" s="86" t="str">
        <f>IF(N62="","PRIMER_DIA en blanco",
IF(AND(M62="01",N62&gt;=L_Conversion!$C$118,N62&lt;=L_Conversion!$D$118),"-",
IF(AND(M62="02",N62&gt;=L_Conversion!$C$119,N62&lt;=L_Conversion!$D$119),"-",
IF(AND(M62="03",N62&gt;=L_Conversion!$C$120,N62&lt;=L_Conversion!$D$120),"-",
IF(AND(M62="04",N62&gt;=L_Conversion!$C$121,N62&lt;=L_Conversion!$D$121),"-",
IF(AND(M62="05",N62&gt;=L_Conversion!$C$122,N62&lt;=L_Conversion!$D$122),"-",
IF(AND(M62="06",N62&gt;=L_Conversion!$C$123,N62&lt;=L_Conversion!$D$123),"-",
IF(AND(M62="07",N62&gt;=L_Conversion!$C$124,N62&lt;=L_Conversion!$D$124),"-",
IF(AND(M62="08",N62&gt;=L_Conversion!$C$125,N62&lt;=L_Conversion!$D$125),"-",
IF(AND(M62="09",N62&gt;=L_Conversion!$C$126,N62&lt;=L_Conversion!$D$126),"-",
IF(AND(M62="10",N62&gt;=L_Conversion!$C$127,N62&lt;=L_Conversion!$D$127),"-",
IF(AND(M62="11",N62&gt;=L_Conversion!$C$128,N62&lt;=L_Conversion!$D$128),"-",
IF(AND(M62="12",N62&gt;=L_Conversion!$C$129,N62&lt;=L_Conversion!$D$129),"-",
IF(AND(M62="13",N62&gt;=L_Conversion!$C$116,N62&lt;=L_Conversion!$D$116),"-",
IF(AND(M62="14",N62&gt;=L_Conversion!$C$117,N62&lt;=L_Conversion!$D$117),"-",
"PRIMER_DIA fuera de rango")))))))))))))))</f>
        <v>-</v>
      </c>
      <c r="AS62" s="86" t="str">
        <f t="shared" si="40"/>
        <v>-</v>
      </c>
      <c r="AT62" s="86" t="str">
        <f t="shared" si="41"/>
        <v>-</v>
      </c>
      <c r="AU62" s="86" t="str">
        <f t="shared" si="42"/>
        <v>-</v>
      </c>
      <c r="AV62" s="86" t="str">
        <f t="shared" si="43"/>
        <v>-</v>
      </c>
      <c r="AW62" s="86" t="str">
        <f t="shared" si="44"/>
        <v>-</v>
      </c>
      <c r="AX62" s="86" t="str">
        <f t="shared" si="45"/>
        <v>-</v>
      </c>
      <c r="AY62" s="86" t="str">
        <f t="shared" si="46"/>
        <v>-</v>
      </c>
      <c r="AZ62" s="86" t="str">
        <f t="shared" si="47"/>
        <v>-</v>
      </c>
      <c r="BA62" s="86" t="str">
        <f t="shared" si="48"/>
        <v>-</v>
      </c>
      <c r="BB62" s="86" t="str">
        <f t="shared" si="49"/>
        <v>-</v>
      </c>
      <c r="BC62" s="86" t="str">
        <f t="shared" si="50"/>
        <v>-</v>
      </c>
      <c r="BD62" s="86" t="str">
        <f t="shared" si="51"/>
        <v>-</v>
      </c>
      <c r="BE62" s="86" t="str">
        <f t="shared" si="52"/>
        <v>-</v>
      </c>
      <c r="BF62" s="86" t="str">
        <f t="shared" si="53"/>
        <v>-</v>
      </c>
    </row>
    <row r="63" spans="1:58" x14ac:dyDescent="0.2">
      <c r="A63" s="80" t="s">
        <v>1144</v>
      </c>
      <c r="B63" s="92" t="s">
        <v>676</v>
      </c>
      <c r="C63" s="202">
        <v>19077662</v>
      </c>
      <c r="D63" s="203" t="s">
        <v>1151</v>
      </c>
      <c r="E63" s="204" t="s">
        <v>1326</v>
      </c>
      <c r="F63" s="204" t="s">
        <v>1327</v>
      </c>
      <c r="G63" s="204" t="s">
        <v>1328</v>
      </c>
      <c r="H63" s="205" t="s">
        <v>1033</v>
      </c>
      <c r="I63" s="205" t="s">
        <v>663</v>
      </c>
      <c r="J63" s="203">
        <v>80</v>
      </c>
      <c r="K63" s="204" t="s">
        <v>563</v>
      </c>
      <c r="L63" s="206" t="s">
        <v>516</v>
      </c>
      <c r="M63" s="210" t="s">
        <v>18</v>
      </c>
      <c r="N63" s="211">
        <v>45672</v>
      </c>
      <c r="O63" s="207">
        <v>3</v>
      </c>
      <c r="P63" s="203">
        <v>1</v>
      </c>
      <c r="Q63" s="205" t="s">
        <v>23</v>
      </c>
      <c r="R63" s="205" t="s">
        <v>11</v>
      </c>
      <c r="S63" s="205" t="s">
        <v>23</v>
      </c>
      <c r="T63" s="207">
        <v>3</v>
      </c>
      <c r="U63" s="208" t="s">
        <v>11</v>
      </c>
      <c r="V63" s="212" t="s">
        <v>19</v>
      </c>
      <c r="W63" s="212" t="s">
        <v>19</v>
      </c>
      <c r="X63" s="209">
        <v>61380</v>
      </c>
      <c r="Y63" s="213" t="s">
        <v>735</v>
      </c>
      <c r="Z63" s="209">
        <v>3</v>
      </c>
      <c r="AA63" s="209">
        <v>61380</v>
      </c>
      <c r="AB63" s="209">
        <v>61380</v>
      </c>
      <c r="AC63" s="178" t="str">
        <f>IF(OR(M63="13",M63="14",P63=8),"",IF(AND(OR(S63="AUTORIZADO", S63="PENDIENTE", S63="REDUCIDO", S63="AMPLIADO"),L63&lt;&gt;"HONORARIO" ), CONCATENATE(IF(H63="X","H",H63),"_",IF(OR(P63=5,P63=6),_xlfn.CONCAT(P63,"A"),P63),"_",VLOOKUP(T63,Datos!$B$2:$C$5,2,TRUE)),""))</f>
        <v>M_1_[hasta 3]</v>
      </c>
      <c r="AD63" s="178">
        <f t="shared" si="27"/>
        <v>122760</v>
      </c>
      <c r="AE63" s="82" t="str">
        <f t="shared" si="28"/>
        <v>-</v>
      </c>
      <c r="AF63" s="83" t="str">
        <f t="shared" si="29"/>
        <v>Revisar</v>
      </c>
      <c r="AG63" s="84"/>
      <c r="AH63" s="85" t="str">
        <f t="shared" si="30"/>
        <v>Corporación de Fomento de la Producción</v>
      </c>
      <c r="AI63" s="82" t="str">
        <f t="shared" si="31"/>
        <v>-</v>
      </c>
      <c r="AJ63" s="82" t="str">
        <f t="shared" si="32"/>
        <v>K</v>
      </c>
      <c r="AK63" s="82" t="str">
        <f t="shared" si="33"/>
        <v>-</v>
      </c>
      <c r="AL63" s="82" t="str">
        <f t="shared" si="34"/>
        <v>Identifica este registro como MUJER</v>
      </c>
      <c r="AM63" s="82" t="str">
        <f t="shared" si="35"/>
        <v>-</v>
      </c>
      <c r="AN63" s="82" t="str">
        <f t="shared" si="36"/>
        <v>-</v>
      </c>
      <c r="AO63" s="82" t="str">
        <f t="shared" si="37"/>
        <v>-</v>
      </c>
      <c r="AP63" s="57" t="str">
        <f t="shared" si="38"/>
        <v>-</v>
      </c>
      <c r="AQ63" s="86" t="str">
        <f t="shared" si="39"/>
        <v>-</v>
      </c>
      <c r="AR63" s="86" t="str">
        <f>IF(N63="","PRIMER_DIA en blanco",
IF(AND(M63="01",N63&gt;=L_Conversion!$C$118,N63&lt;=L_Conversion!$D$118),"-",
IF(AND(M63="02",N63&gt;=L_Conversion!$C$119,N63&lt;=L_Conversion!$D$119),"-",
IF(AND(M63="03",N63&gt;=L_Conversion!$C$120,N63&lt;=L_Conversion!$D$120),"-",
IF(AND(M63="04",N63&gt;=L_Conversion!$C$121,N63&lt;=L_Conversion!$D$121),"-",
IF(AND(M63="05",N63&gt;=L_Conversion!$C$122,N63&lt;=L_Conversion!$D$122),"-",
IF(AND(M63="06",N63&gt;=L_Conversion!$C$123,N63&lt;=L_Conversion!$D$123),"-",
IF(AND(M63="07",N63&gt;=L_Conversion!$C$124,N63&lt;=L_Conversion!$D$124),"-",
IF(AND(M63="08",N63&gt;=L_Conversion!$C$125,N63&lt;=L_Conversion!$D$125),"-",
IF(AND(M63="09",N63&gt;=L_Conversion!$C$126,N63&lt;=L_Conversion!$D$126),"-",
IF(AND(M63="10",N63&gt;=L_Conversion!$C$127,N63&lt;=L_Conversion!$D$127),"-",
IF(AND(M63="11",N63&gt;=L_Conversion!$C$128,N63&lt;=L_Conversion!$D$128),"-",
IF(AND(M63="12",N63&gt;=L_Conversion!$C$129,N63&lt;=L_Conversion!$D$129),"-",
IF(AND(M63="13",N63&gt;=L_Conversion!$C$116,N63&lt;=L_Conversion!$D$116),"-",
IF(AND(M63="14",N63&gt;=L_Conversion!$C$117,N63&lt;=L_Conversion!$D$117),"-",
"PRIMER_DIA fuera de rango")))))))))))))))</f>
        <v>-</v>
      </c>
      <c r="AS63" s="86" t="str">
        <f t="shared" si="40"/>
        <v>-</v>
      </c>
      <c r="AT63" s="86" t="str">
        <f t="shared" si="41"/>
        <v>-</v>
      </c>
      <c r="AU63" s="86" t="str">
        <f t="shared" si="42"/>
        <v>-</v>
      </c>
      <c r="AV63" s="86" t="str">
        <f t="shared" si="43"/>
        <v>-</v>
      </c>
      <c r="AW63" s="86" t="str">
        <f t="shared" si="44"/>
        <v>-</v>
      </c>
      <c r="AX63" s="86" t="str">
        <f t="shared" si="45"/>
        <v>-</v>
      </c>
      <c r="AY63" s="86" t="str">
        <f t="shared" si="46"/>
        <v>-</v>
      </c>
      <c r="AZ63" s="86" t="str">
        <f t="shared" si="47"/>
        <v>-</v>
      </c>
      <c r="BA63" s="86" t="str">
        <f t="shared" si="48"/>
        <v>-</v>
      </c>
      <c r="BB63" s="86" t="str">
        <f t="shared" si="49"/>
        <v>-</v>
      </c>
      <c r="BC63" s="86" t="str">
        <f t="shared" si="50"/>
        <v>-</v>
      </c>
      <c r="BD63" s="86" t="str">
        <f t="shared" si="51"/>
        <v>-</v>
      </c>
      <c r="BE63" s="86" t="str">
        <f t="shared" si="52"/>
        <v>-</v>
      </c>
      <c r="BF63" s="86" t="str">
        <f t="shared" si="53"/>
        <v>-</v>
      </c>
    </row>
    <row r="64" spans="1:58" x14ac:dyDescent="0.2">
      <c r="A64" s="80" t="s">
        <v>1144</v>
      </c>
      <c r="B64" s="92" t="s">
        <v>76</v>
      </c>
      <c r="C64" s="202">
        <v>12184581</v>
      </c>
      <c r="D64" s="203">
        <v>4</v>
      </c>
      <c r="E64" s="204" t="s">
        <v>1329</v>
      </c>
      <c r="F64" s="204" t="s">
        <v>1330</v>
      </c>
      <c r="G64" s="204" t="s">
        <v>1331</v>
      </c>
      <c r="H64" s="205" t="s">
        <v>1033</v>
      </c>
      <c r="I64" s="205" t="s">
        <v>662</v>
      </c>
      <c r="J64" s="203">
        <v>80</v>
      </c>
      <c r="K64" s="204" t="s">
        <v>563</v>
      </c>
      <c r="L64" s="206" t="s">
        <v>502</v>
      </c>
      <c r="M64" s="210" t="s">
        <v>18</v>
      </c>
      <c r="N64" s="211">
        <v>45673</v>
      </c>
      <c r="O64" s="207">
        <v>2</v>
      </c>
      <c r="P64" s="203">
        <v>1</v>
      </c>
      <c r="Q64" s="205" t="s">
        <v>23</v>
      </c>
      <c r="R64" s="205" t="s">
        <v>11</v>
      </c>
      <c r="S64" s="205" t="s">
        <v>23</v>
      </c>
      <c r="T64" s="207">
        <v>2</v>
      </c>
      <c r="U64" s="208" t="s">
        <v>11</v>
      </c>
      <c r="V64" s="212" t="s">
        <v>19</v>
      </c>
      <c r="W64" s="212" t="s">
        <v>19</v>
      </c>
      <c r="X64" s="209">
        <v>42158</v>
      </c>
      <c r="Y64" s="213" t="s">
        <v>735</v>
      </c>
      <c r="Z64" s="209">
        <v>2</v>
      </c>
      <c r="AA64" s="209">
        <v>42158</v>
      </c>
      <c r="AB64" s="209">
        <v>42158</v>
      </c>
      <c r="AC64" s="178" t="str">
        <f>IF(OR(M64="13",M64="14",P64=8),"",IF(AND(OR(S64="AUTORIZADO", S64="PENDIENTE", S64="REDUCIDO", S64="AMPLIADO"),L64&lt;&gt;"HONORARIO" ), CONCATENATE(IF(H64="X","H",H64),"_",IF(OR(P64=5,P64=6),_xlfn.CONCAT(P64,"A"),P64),"_",VLOOKUP(T64,Datos!$B$2:$C$5,2,TRUE)),""))</f>
        <v>M_1_[hasta 3]</v>
      </c>
      <c r="AD64" s="178">
        <f t="shared" si="27"/>
        <v>84316</v>
      </c>
      <c r="AE64" s="82" t="str">
        <f t="shared" si="28"/>
        <v>-</v>
      </c>
      <c r="AF64" s="83" t="str">
        <f t="shared" si="29"/>
        <v>070601</v>
      </c>
      <c r="AG64" s="84"/>
      <c r="AH64" s="85" t="str">
        <f t="shared" si="30"/>
        <v>Corporación de Fomento de la Producción</v>
      </c>
      <c r="AI64" s="82" t="str">
        <f t="shared" si="31"/>
        <v>-</v>
      </c>
      <c r="AJ64" s="82">
        <f t="shared" si="32"/>
        <v>4</v>
      </c>
      <c r="AK64" s="82" t="str">
        <f t="shared" si="33"/>
        <v>-</v>
      </c>
      <c r="AL64" s="82" t="str">
        <f t="shared" si="34"/>
        <v>Identifica este registro como MUJER</v>
      </c>
      <c r="AM64" s="82" t="str">
        <f t="shared" si="35"/>
        <v>-</v>
      </c>
      <c r="AN64" s="82" t="str">
        <f t="shared" si="36"/>
        <v>-</v>
      </c>
      <c r="AO64" s="82" t="str">
        <f t="shared" si="37"/>
        <v>-</v>
      </c>
      <c r="AP64" s="57" t="str">
        <f t="shared" si="38"/>
        <v>-</v>
      </c>
      <c r="AQ64" s="86" t="str">
        <f t="shared" si="39"/>
        <v>-</v>
      </c>
      <c r="AR64" s="86" t="str">
        <f>IF(N64="","PRIMER_DIA en blanco",
IF(AND(M64="01",N64&gt;=L_Conversion!$C$118,N64&lt;=L_Conversion!$D$118),"-",
IF(AND(M64="02",N64&gt;=L_Conversion!$C$119,N64&lt;=L_Conversion!$D$119),"-",
IF(AND(M64="03",N64&gt;=L_Conversion!$C$120,N64&lt;=L_Conversion!$D$120),"-",
IF(AND(M64="04",N64&gt;=L_Conversion!$C$121,N64&lt;=L_Conversion!$D$121),"-",
IF(AND(M64="05",N64&gt;=L_Conversion!$C$122,N64&lt;=L_Conversion!$D$122),"-",
IF(AND(M64="06",N64&gt;=L_Conversion!$C$123,N64&lt;=L_Conversion!$D$123),"-",
IF(AND(M64="07",N64&gt;=L_Conversion!$C$124,N64&lt;=L_Conversion!$D$124),"-",
IF(AND(M64="08",N64&gt;=L_Conversion!$C$125,N64&lt;=L_Conversion!$D$125),"-",
IF(AND(M64="09",N64&gt;=L_Conversion!$C$126,N64&lt;=L_Conversion!$D$126),"-",
IF(AND(M64="10",N64&gt;=L_Conversion!$C$127,N64&lt;=L_Conversion!$D$127),"-",
IF(AND(M64="11",N64&gt;=L_Conversion!$C$128,N64&lt;=L_Conversion!$D$128),"-",
IF(AND(M64="12",N64&gt;=L_Conversion!$C$129,N64&lt;=L_Conversion!$D$129),"-",
IF(AND(M64="13",N64&gt;=L_Conversion!$C$116,N64&lt;=L_Conversion!$D$116),"-",
IF(AND(M64="14",N64&gt;=L_Conversion!$C$117,N64&lt;=L_Conversion!$D$117),"-",
"PRIMER_DIA fuera de rango")))))))))))))))</f>
        <v>-</v>
      </c>
      <c r="AS64" s="86" t="str">
        <f t="shared" si="40"/>
        <v>-</v>
      </c>
      <c r="AT64" s="86" t="str">
        <f t="shared" si="41"/>
        <v>-</v>
      </c>
      <c r="AU64" s="86" t="str">
        <f t="shared" si="42"/>
        <v>-</v>
      </c>
      <c r="AV64" s="86" t="str">
        <f t="shared" si="43"/>
        <v>-</v>
      </c>
      <c r="AW64" s="86" t="str">
        <f t="shared" si="44"/>
        <v>-</v>
      </c>
      <c r="AX64" s="86" t="str">
        <f t="shared" si="45"/>
        <v>-</v>
      </c>
      <c r="AY64" s="86" t="str">
        <f t="shared" si="46"/>
        <v>-</v>
      </c>
      <c r="AZ64" s="86" t="str">
        <f t="shared" si="47"/>
        <v>-</v>
      </c>
      <c r="BA64" s="86" t="str">
        <f t="shared" si="48"/>
        <v>-</v>
      </c>
      <c r="BB64" s="86" t="str">
        <f t="shared" si="49"/>
        <v>-</v>
      </c>
      <c r="BC64" s="86" t="str">
        <f t="shared" si="50"/>
        <v>-</v>
      </c>
      <c r="BD64" s="86" t="str">
        <f t="shared" si="51"/>
        <v>-</v>
      </c>
      <c r="BE64" s="86" t="str">
        <f t="shared" si="52"/>
        <v>-</v>
      </c>
      <c r="BF64" s="86" t="str">
        <f t="shared" si="53"/>
        <v>-</v>
      </c>
    </row>
    <row r="65" spans="1:58" x14ac:dyDescent="0.2">
      <c r="A65" s="80" t="s">
        <v>1144</v>
      </c>
      <c r="B65" s="92" t="s">
        <v>76</v>
      </c>
      <c r="C65" s="202">
        <v>16871109</v>
      </c>
      <c r="D65" s="203">
        <v>3</v>
      </c>
      <c r="E65" s="204" t="s">
        <v>1213</v>
      </c>
      <c r="F65" s="204" t="s">
        <v>1150</v>
      </c>
      <c r="G65" s="204" t="s">
        <v>1214</v>
      </c>
      <c r="H65" s="205" t="s">
        <v>1033</v>
      </c>
      <c r="I65" s="205" t="s">
        <v>662</v>
      </c>
      <c r="J65" s="203">
        <v>80</v>
      </c>
      <c r="K65" s="204" t="s">
        <v>563</v>
      </c>
      <c r="L65" s="206" t="s">
        <v>502</v>
      </c>
      <c r="M65" s="210" t="s">
        <v>18</v>
      </c>
      <c r="N65" s="211">
        <v>45673</v>
      </c>
      <c r="O65" s="207">
        <v>7</v>
      </c>
      <c r="P65" s="203">
        <v>4</v>
      </c>
      <c r="Q65" s="205" t="s">
        <v>23</v>
      </c>
      <c r="R65" s="205" t="s">
        <v>11</v>
      </c>
      <c r="S65" s="205" t="s">
        <v>23</v>
      </c>
      <c r="T65" s="207">
        <v>7</v>
      </c>
      <c r="U65" s="208" t="s">
        <v>11</v>
      </c>
      <c r="V65" s="212" t="s">
        <v>11</v>
      </c>
      <c r="W65" s="212" t="s">
        <v>19</v>
      </c>
      <c r="X65" s="209">
        <v>1516</v>
      </c>
      <c r="Y65" s="213" t="s">
        <v>735</v>
      </c>
      <c r="Z65" s="209">
        <v>7</v>
      </c>
      <c r="AA65" s="209">
        <v>1516</v>
      </c>
      <c r="AB65" s="209">
        <v>1516</v>
      </c>
      <c r="AC65" s="178" t="str">
        <f>IF(OR(M65="13",M65="14",P65=8),"",IF(AND(OR(S65="AUTORIZADO", S65="PENDIENTE", S65="REDUCIDO", S65="AMPLIADO"),L65&lt;&gt;"HONORARIO" ), CONCATENATE(IF(H65="X","H",H65),"_",IF(OR(P65=5,P65=6),_xlfn.CONCAT(P65,"A"),P65),"_",VLOOKUP(T65,Datos!$B$2:$C$5,2,TRUE)),""))</f>
        <v>M_4_[4 a 10]</v>
      </c>
      <c r="AD65" s="178">
        <f t="shared" si="27"/>
        <v>3032</v>
      </c>
      <c r="AE65" s="82" t="str">
        <f t="shared" si="28"/>
        <v>-</v>
      </c>
      <c r="AF65" s="83" t="str">
        <f t="shared" si="29"/>
        <v>070601</v>
      </c>
      <c r="AG65" s="84"/>
      <c r="AH65" s="85" t="str">
        <f t="shared" si="30"/>
        <v>Corporación de Fomento de la Producción</v>
      </c>
      <c r="AI65" s="82" t="str">
        <f t="shared" si="31"/>
        <v>-</v>
      </c>
      <c r="AJ65" s="82">
        <f t="shared" si="32"/>
        <v>3</v>
      </c>
      <c r="AK65" s="82" t="str">
        <f t="shared" si="33"/>
        <v>-</v>
      </c>
      <c r="AL65" s="82" t="str">
        <f t="shared" si="34"/>
        <v>Identifica este registro como MUJER</v>
      </c>
      <c r="AM65" s="82" t="str">
        <f t="shared" si="35"/>
        <v>-</v>
      </c>
      <c r="AN65" s="82" t="str">
        <f t="shared" si="36"/>
        <v>-</v>
      </c>
      <c r="AO65" s="82" t="str">
        <f t="shared" si="37"/>
        <v>-</v>
      </c>
      <c r="AP65" s="57" t="str">
        <f t="shared" si="38"/>
        <v>-</v>
      </c>
      <c r="AQ65" s="86" t="str">
        <f t="shared" si="39"/>
        <v>-</v>
      </c>
      <c r="AR65" s="86" t="str">
        <f>IF(N65="","PRIMER_DIA en blanco",
IF(AND(M65="01",N65&gt;=L_Conversion!$C$118,N65&lt;=L_Conversion!$D$118),"-",
IF(AND(M65="02",N65&gt;=L_Conversion!$C$119,N65&lt;=L_Conversion!$D$119),"-",
IF(AND(M65="03",N65&gt;=L_Conversion!$C$120,N65&lt;=L_Conversion!$D$120),"-",
IF(AND(M65="04",N65&gt;=L_Conversion!$C$121,N65&lt;=L_Conversion!$D$121),"-",
IF(AND(M65="05",N65&gt;=L_Conversion!$C$122,N65&lt;=L_Conversion!$D$122),"-",
IF(AND(M65="06",N65&gt;=L_Conversion!$C$123,N65&lt;=L_Conversion!$D$123),"-",
IF(AND(M65="07",N65&gt;=L_Conversion!$C$124,N65&lt;=L_Conversion!$D$124),"-",
IF(AND(M65="08",N65&gt;=L_Conversion!$C$125,N65&lt;=L_Conversion!$D$125),"-",
IF(AND(M65="09",N65&gt;=L_Conversion!$C$126,N65&lt;=L_Conversion!$D$126),"-",
IF(AND(M65="10",N65&gt;=L_Conversion!$C$127,N65&lt;=L_Conversion!$D$127),"-",
IF(AND(M65="11",N65&gt;=L_Conversion!$C$128,N65&lt;=L_Conversion!$D$128),"-",
IF(AND(M65="12",N65&gt;=L_Conversion!$C$129,N65&lt;=L_Conversion!$D$129),"-",
IF(AND(M65="13",N65&gt;=L_Conversion!$C$116,N65&lt;=L_Conversion!$D$116),"-",
IF(AND(M65="14",N65&gt;=L_Conversion!$C$117,N65&lt;=L_Conversion!$D$117),"-",
"PRIMER_DIA fuera de rango")))))))))))))))</f>
        <v>-</v>
      </c>
      <c r="AS65" s="86" t="str">
        <f t="shared" si="40"/>
        <v>-</v>
      </c>
      <c r="AT65" s="86" t="str">
        <f t="shared" si="41"/>
        <v>-</v>
      </c>
      <c r="AU65" s="86" t="str">
        <f t="shared" si="42"/>
        <v>-</v>
      </c>
      <c r="AV65" s="86" t="str">
        <f t="shared" si="43"/>
        <v>-</v>
      </c>
      <c r="AW65" s="86" t="str">
        <f t="shared" si="44"/>
        <v>-</v>
      </c>
      <c r="AX65" s="86" t="str">
        <f t="shared" si="45"/>
        <v>-</v>
      </c>
      <c r="AY65" s="86" t="str">
        <f t="shared" si="46"/>
        <v>-</v>
      </c>
      <c r="AZ65" s="86" t="str">
        <f t="shared" si="47"/>
        <v>-</v>
      </c>
      <c r="BA65" s="86" t="str">
        <f t="shared" si="48"/>
        <v>-</v>
      </c>
      <c r="BB65" s="86" t="str">
        <f t="shared" si="49"/>
        <v>-</v>
      </c>
      <c r="BC65" s="86" t="str">
        <f t="shared" si="50"/>
        <v>-</v>
      </c>
      <c r="BD65" s="86" t="str">
        <f t="shared" si="51"/>
        <v>-</v>
      </c>
      <c r="BE65" s="86" t="str">
        <f t="shared" si="52"/>
        <v>-</v>
      </c>
      <c r="BF65" s="86" t="str">
        <f t="shared" si="53"/>
        <v>-</v>
      </c>
    </row>
    <row r="66" spans="1:58" x14ac:dyDescent="0.2">
      <c r="A66" s="80" t="s">
        <v>1144</v>
      </c>
      <c r="B66" s="92" t="s">
        <v>76</v>
      </c>
      <c r="C66" s="202">
        <v>16144158</v>
      </c>
      <c r="D66" s="203">
        <v>9</v>
      </c>
      <c r="E66" s="204" t="s">
        <v>1185</v>
      </c>
      <c r="F66" s="204" t="s">
        <v>1215</v>
      </c>
      <c r="G66" s="204" t="s">
        <v>1332</v>
      </c>
      <c r="H66" s="205" t="s">
        <v>1033</v>
      </c>
      <c r="I66" s="205" t="s">
        <v>662</v>
      </c>
      <c r="J66" s="203">
        <v>80</v>
      </c>
      <c r="K66" s="204" t="s">
        <v>567</v>
      </c>
      <c r="L66" s="206" t="s">
        <v>502</v>
      </c>
      <c r="M66" s="210" t="s">
        <v>18</v>
      </c>
      <c r="N66" s="211">
        <v>45673</v>
      </c>
      <c r="O66" s="207">
        <v>2</v>
      </c>
      <c r="P66" s="203">
        <v>1</v>
      </c>
      <c r="Q66" s="205" t="s">
        <v>23</v>
      </c>
      <c r="R66" s="205" t="s">
        <v>11</v>
      </c>
      <c r="S66" s="205" t="s">
        <v>23</v>
      </c>
      <c r="T66" s="207">
        <v>2</v>
      </c>
      <c r="U66" s="208" t="s">
        <v>11</v>
      </c>
      <c r="V66" s="212" t="s">
        <v>19</v>
      </c>
      <c r="W66" s="212" t="s">
        <v>19</v>
      </c>
      <c r="X66" s="209">
        <v>18316</v>
      </c>
      <c r="Y66" s="213" t="s">
        <v>735</v>
      </c>
      <c r="Z66" s="209">
        <v>2</v>
      </c>
      <c r="AA66" s="209">
        <v>18316</v>
      </c>
      <c r="AB66" s="209">
        <v>18316</v>
      </c>
      <c r="AC66" s="178" t="str">
        <f>IF(OR(M66="13",M66="14",P66=8),"",IF(AND(OR(S66="AUTORIZADO", S66="PENDIENTE", S66="REDUCIDO", S66="AMPLIADO"),L66&lt;&gt;"HONORARIO" ), CONCATENATE(IF(H66="X","H",H66),"_",IF(OR(P66=5,P66=6),_xlfn.CONCAT(P66,"A"),P66),"_",VLOOKUP(T66,Datos!$B$2:$C$5,2,TRUE)),""))</f>
        <v>M_1_[hasta 3]</v>
      </c>
      <c r="AD66" s="178">
        <f t="shared" si="27"/>
        <v>36632</v>
      </c>
      <c r="AE66" s="82" t="str">
        <f t="shared" si="28"/>
        <v>-</v>
      </c>
      <c r="AF66" s="83" t="str">
        <f t="shared" si="29"/>
        <v>070601</v>
      </c>
      <c r="AG66" s="84"/>
      <c r="AH66" s="85" t="str">
        <f t="shared" si="30"/>
        <v>Corporación de Fomento de la Producción</v>
      </c>
      <c r="AI66" s="82" t="str">
        <f t="shared" si="31"/>
        <v>-</v>
      </c>
      <c r="AJ66" s="82">
        <f t="shared" si="32"/>
        <v>9</v>
      </c>
      <c r="AK66" s="82" t="str">
        <f t="shared" si="33"/>
        <v>-</v>
      </c>
      <c r="AL66" s="82" t="str">
        <f t="shared" si="34"/>
        <v>Identifica este registro como MUJER</v>
      </c>
      <c r="AM66" s="82" t="str">
        <f t="shared" si="35"/>
        <v>-</v>
      </c>
      <c r="AN66" s="82" t="str">
        <f t="shared" si="36"/>
        <v>-</v>
      </c>
      <c r="AO66" s="82" t="str">
        <f t="shared" si="37"/>
        <v>-</v>
      </c>
      <c r="AP66" s="57" t="str">
        <f t="shared" si="38"/>
        <v>-</v>
      </c>
      <c r="AQ66" s="86" t="str">
        <f t="shared" si="39"/>
        <v>-</v>
      </c>
      <c r="AR66" s="86" t="str">
        <f>IF(N66="","PRIMER_DIA en blanco",
IF(AND(M66="01",N66&gt;=L_Conversion!$C$118,N66&lt;=L_Conversion!$D$118),"-",
IF(AND(M66="02",N66&gt;=L_Conversion!$C$119,N66&lt;=L_Conversion!$D$119),"-",
IF(AND(M66="03",N66&gt;=L_Conversion!$C$120,N66&lt;=L_Conversion!$D$120),"-",
IF(AND(M66="04",N66&gt;=L_Conversion!$C$121,N66&lt;=L_Conversion!$D$121),"-",
IF(AND(M66="05",N66&gt;=L_Conversion!$C$122,N66&lt;=L_Conversion!$D$122),"-",
IF(AND(M66="06",N66&gt;=L_Conversion!$C$123,N66&lt;=L_Conversion!$D$123),"-",
IF(AND(M66="07",N66&gt;=L_Conversion!$C$124,N66&lt;=L_Conversion!$D$124),"-",
IF(AND(M66="08",N66&gt;=L_Conversion!$C$125,N66&lt;=L_Conversion!$D$125),"-",
IF(AND(M66="09",N66&gt;=L_Conversion!$C$126,N66&lt;=L_Conversion!$D$126),"-",
IF(AND(M66="10",N66&gt;=L_Conversion!$C$127,N66&lt;=L_Conversion!$D$127),"-",
IF(AND(M66="11",N66&gt;=L_Conversion!$C$128,N66&lt;=L_Conversion!$D$128),"-",
IF(AND(M66="12",N66&gt;=L_Conversion!$C$129,N66&lt;=L_Conversion!$D$129),"-",
IF(AND(M66="13",N66&gt;=L_Conversion!$C$116,N66&lt;=L_Conversion!$D$116),"-",
IF(AND(M66="14",N66&gt;=L_Conversion!$C$117,N66&lt;=L_Conversion!$D$117),"-",
"PRIMER_DIA fuera de rango")))))))))))))))</f>
        <v>-</v>
      </c>
      <c r="AS66" s="86" t="str">
        <f t="shared" si="40"/>
        <v>-</v>
      </c>
      <c r="AT66" s="86" t="str">
        <f t="shared" si="41"/>
        <v>-</v>
      </c>
      <c r="AU66" s="86" t="str">
        <f t="shared" si="42"/>
        <v>-</v>
      </c>
      <c r="AV66" s="86" t="str">
        <f t="shared" si="43"/>
        <v>-</v>
      </c>
      <c r="AW66" s="86" t="str">
        <f t="shared" si="44"/>
        <v>-</v>
      </c>
      <c r="AX66" s="86" t="str">
        <f t="shared" si="45"/>
        <v>-</v>
      </c>
      <c r="AY66" s="86" t="str">
        <f t="shared" si="46"/>
        <v>-</v>
      </c>
      <c r="AZ66" s="86" t="str">
        <f t="shared" si="47"/>
        <v>-</v>
      </c>
      <c r="BA66" s="86" t="str">
        <f t="shared" si="48"/>
        <v>-</v>
      </c>
      <c r="BB66" s="86" t="str">
        <f t="shared" si="49"/>
        <v>-</v>
      </c>
      <c r="BC66" s="86" t="str">
        <f t="shared" si="50"/>
        <v>-</v>
      </c>
      <c r="BD66" s="86" t="str">
        <f t="shared" si="51"/>
        <v>-</v>
      </c>
      <c r="BE66" s="86" t="str">
        <f t="shared" si="52"/>
        <v>-</v>
      </c>
      <c r="BF66" s="86" t="str">
        <f t="shared" si="53"/>
        <v>-</v>
      </c>
    </row>
    <row r="67" spans="1:58" x14ac:dyDescent="0.2">
      <c r="A67" s="80" t="s">
        <v>1144</v>
      </c>
      <c r="B67" s="92" t="s">
        <v>76</v>
      </c>
      <c r="C67" s="202">
        <v>14112320</v>
      </c>
      <c r="D67" s="203">
        <v>3</v>
      </c>
      <c r="E67" s="204" t="s">
        <v>1333</v>
      </c>
      <c r="F67" s="204" t="s">
        <v>1334</v>
      </c>
      <c r="G67" s="204" t="s">
        <v>1335</v>
      </c>
      <c r="H67" s="205" t="s">
        <v>1033</v>
      </c>
      <c r="I67" s="205" t="s">
        <v>662</v>
      </c>
      <c r="J67" s="203">
        <v>80</v>
      </c>
      <c r="K67" s="204" t="s">
        <v>563</v>
      </c>
      <c r="L67" s="206" t="s">
        <v>502</v>
      </c>
      <c r="M67" s="210" t="s">
        <v>18</v>
      </c>
      <c r="N67" s="211">
        <v>45673</v>
      </c>
      <c r="O67" s="207">
        <v>30</v>
      </c>
      <c r="P67" s="203">
        <v>4</v>
      </c>
      <c r="Q67" s="205" t="s">
        <v>23</v>
      </c>
      <c r="R67" s="205" t="s">
        <v>11</v>
      </c>
      <c r="S67" s="205" t="s">
        <v>23</v>
      </c>
      <c r="T67" s="207">
        <v>30</v>
      </c>
      <c r="U67" s="208" t="s">
        <v>11</v>
      </c>
      <c r="V67" s="212" t="s">
        <v>11</v>
      </c>
      <c r="W67" s="212" t="s">
        <v>19</v>
      </c>
      <c r="X67" s="209">
        <v>649477</v>
      </c>
      <c r="Y67" s="213" t="s">
        <v>735</v>
      </c>
      <c r="Z67" s="209">
        <v>30</v>
      </c>
      <c r="AA67" s="209">
        <v>649477</v>
      </c>
      <c r="AB67" s="209">
        <v>649477</v>
      </c>
      <c r="AC67" s="178" t="str">
        <f>IF(OR(M67="13",M67="14",P67=8),"",IF(AND(OR(S67="AUTORIZADO", S67="PENDIENTE", S67="REDUCIDO", S67="AMPLIADO"),L67&lt;&gt;"HONORARIO" ), CONCATENATE(IF(H67="X","H",H67),"_",IF(OR(P67=5,P67=6),_xlfn.CONCAT(P67,"A"),P67),"_",VLOOKUP(T67,Datos!$B$2:$C$5,2,TRUE)),""))</f>
        <v>M_4_[11 +]</v>
      </c>
      <c r="AD67" s="178">
        <f t="shared" si="27"/>
        <v>1298954</v>
      </c>
      <c r="AE67" s="82" t="str">
        <f t="shared" si="28"/>
        <v>-</v>
      </c>
      <c r="AF67" s="83" t="str">
        <f t="shared" si="29"/>
        <v>070601</v>
      </c>
      <c r="AG67" s="84"/>
      <c r="AH67" s="85" t="str">
        <f t="shared" si="30"/>
        <v>Corporación de Fomento de la Producción</v>
      </c>
      <c r="AI67" s="82" t="str">
        <f t="shared" si="31"/>
        <v>-</v>
      </c>
      <c r="AJ67" s="82">
        <f t="shared" si="32"/>
        <v>3</v>
      </c>
      <c r="AK67" s="82" t="str">
        <f t="shared" si="33"/>
        <v>-</v>
      </c>
      <c r="AL67" s="82" t="str">
        <f t="shared" si="34"/>
        <v>Identifica este registro como MUJER</v>
      </c>
      <c r="AM67" s="82" t="str">
        <f t="shared" si="35"/>
        <v>-</v>
      </c>
      <c r="AN67" s="82" t="str">
        <f t="shared" si="36"/>
        <v>-</v>
      </c>
      <c r="AO67" s="82" t="str">
        <f t="shared" si="37"/>
        <v>-</v>
      </c>
      <c r="AP67" s="57" t="str">
        <f t="shared" si="38"/>
        <v>-</v>
      </c>
      <c r="AQ67" s="86" t="str">
        <f t="shared" si="39"/>
        <v>-</v>
      </c>
      <c r="AR67" s="86" t="str">
        <f>IF(N67="","PRIMER_DIA en blanco",
IF(AND(M67="01",N67&gt;=L_Conversion!$C$118,N67&lt;=L_Conversion!$D$118),"-",
IF(AND(M67="02",N67&gt;=L_Conversion!$C$119,N67&lt;=L_Conversion!$D$119),"-",
IF(AND(M67="03",N67&gt;=L_Conversion!$C$120,N67&lt;=L_Conversion!$D$120),"-",
IF(AND(M67="04",N67&gt;=L_Conversion!$C$121,N67&lt;=L_Conversion!$D$121),"-",
IF(AND(M67="05",N67&gt;=L_Conversion!$C$122,N67&lt;=L_Conversion!$D$122),"-",
IF(AND(M67="06",N67&gt;=L_Conversion!$C$123,N67&lt;=L_Conversion!$D$123),"-",
IF(AND(M67="07",N67&gt;=L_Conversion!$C$124,N67&lt;=L_Conversion!$D$124),"-",
IF(AND(M67="08",N67&gt;=L_Conversion!$C$125,N67&lt;=L_Conversion!$D$125),"-",
IF(AND(M67="09",N67&gt;=L_Conversion!$C$126,N67&lt;=L_Conversion!$D$126),"-",
IF(AND(M67="10",N67&gt;=L_Conversion!$C$127,N67&lt;=L_Conversion!$D$127),"-",
IF(AND(M67="11",N67&gt;=L_Conversion!$C$128,N67&lt;=L_Conversion!$D$128),"-",
IF(AND(M67="12",N67&gt;=L_Conversion!$C$129,N67&lt;=L_Conversion!$D$129),"-",
IF(AND(M67="13",N67&gt;=L_Conversion!$C$116,N67&lt;=L_Conversion!$D$116),"-",
IF(AND(M67="14",N67&gt;=L_Conversion!$C$117,N67&lt;=L_Conversion!$D$117),"-",
"PRIMER_DIA fuera de rango")))))))))))))))</f>
        <v>-</v>
      </c>
      <c r="AS67" s="86" t="str">
        <f t="shared" si="40"/>
        <v>-</v>
      </c>
      <c r="AT67" s="86" t="str">
        <f t="shared" si="41"/>
        <v>-</v>
      </c>
      <c r="AU67" s="86" t="str">
        <f t="shared" si="42"/>
        <v>-</v>
      </c>
      <c r="AV67" s="86" t="str">
        <f t="shared" si="43"/>
        <v>-</v>
      </c>
      <c r="AW67" s="86" t="str">
        <f t="shared" si="44"/>
        <v>-</v>
      </c>
      <c r="AX67" s="86" t="str">
        <f t="shared" si="45"/>
        <v>-</v>
      </c>
      <c r="AY67" s="86" t="str">
        <f t="shared" si="46"/>
        <v>-</v>
      </c>
      <c r="AZ67" s="86" t="str">
        <f t="shared" si="47"/>
        <v>-</v>
      </c>
      <c r="BA67" s="86" t="str">
        <f t="shared" si="48"/>
        <v>-</v>
      </c>
      <c r="BB67" s="86" t="str">
        <f t="shared" si="49"/>
        <v>-</v>
      </c>
      <c r="BC67" s="86" t="str">
        <f t="shared" si="50"/>
        <v>-</v>
      </c>
      <c r="BD67" s="86" t="str">
        <f t="shared" si="51"/>
        <v>-</v>
      </c>
      <c r="BE67" s="86" t="str">
        <f t="shared" si="52"/>
        <v>-</v>
      </c>
      <c r="BF67" s="86" t="str">
        <f t="shared" si="53"/>
        <v>-</v>
      </c>
    </row>
    <row r="68" spans="1:58" x14ac:dyDescent="0.2">
      <c r="A68" s="80" t="s">
        <v>1144</v>
      </c>
      <c r="B68" s="92" t="s">
        <v>76</v>
      </c>
      <c r="C68" s="202">
        <v>10706174</v>
      </c>
      <c r="D68" s="203">
        <v>6</v>
      </c>
      <c r="E68" s="204" t="s">
        <v>1336</v>
      </c>
      <c r="F68" s="204" t="s">
        <v>1165</v>
      </c>
      <c r="G68" s="204" t="s">
        <v>1337</v>
      </c>
      <c r="H68" s="205" t="s">
        <v>663</v>
      </c>
      <c r="I68" s="205" t="s">
        <v>663</v>
      </c>
      <c r="J68" s="203">
        <v>80</v>
      </c>
      <c r="K68" s="204" t="s">
        <v>567</v>
      </c>
      <c r="L68" s="206" t="s">
        <v>519</v>
      </c>
      <c r="M68" s="210" t="s">
        <v>18</v>
      </c>
      <c r="N68" s="211">
        <v>45673</v>
      </c>
      <c r="O68" s="207">
        <v>15</v>
      </c>
      <c r="P68" s="203">
        <v>1</v>
      </c>
      <c r="Q68" s="205" t="s">
        <v>23</v>
      </c>
      <c r="R68" s="205" t="s">
        <v>11</v>
      </c>
      <c r="S68" s="205" t="s">
        <v>23</v>
      </c>
      <c r="T68" s="207">
        <v>15</v>
      </c>
      <c r="U68" s="208" t="s">
        <v>11</v>
      </c>
      <c r="V68" s="212" t="s">
        <v>11</v>
      </c>
      <c r="W68" s="212" t="s">
        <v>19</v>
      </c>
      <c r="X68" s="209">
        <v>5544</v>
      </c>
      <c r="Y68" s="213" t="s">
        <v>735</v>
      </c>
      <c r="Z68" s="209">
        <v>15</v>
      </c>
      <c r="AA68" s="209">
        <v>5544</v>
      </c>
      <c r="AB68" s="209">
        <v>5544</v>
      </c>
      <c r="AC68" s="178" t="str">
        <f>IF(OR(M68="13",M68="14",P68=8),"",IF(AND(OR(S68="AUTORIZADO", S68="PENDIENTE", S68="REDUCIDO", S68="AMPLIADO"),L68&lt;&gt;"HONORARIO" ), CONCATENATE(IF(H68="X","H",H68),"_",IF(OR(P68=5,P68=6),_xlfn.CONCAT(P68,"A"),P68),"_",VLOOKUP(T68,Datos!$B$2:$C$5,2,TRUE)),""))</f>
        <v>H_1_[11 +]</v>
      </c>
      <c r="AD68" s="178">
        <f t="shared" si="27"/>
        <v>11088</v>
      </c>
      <c r="AE68" s="82" t="str">
        <f t="shared" si="28"/>
        <v>-</v>
      </c>
      <c r="AF68" s="83" t="str">
        <f t="shared" si="29"/>
        <v>070601</v>
      </c>
      <c r="AG68" s="84"/>
      <c r="AH68" s="85" t="str">
        <f t="shared" si="30"/>
        <v>Corporación de Fomento de la Producción</v>
      </c>
      <c r="AI68" s="82" t="str">
        <f t="shared" si="31"/>
        <v>-</v>
      </c>
      <c r="AJ68" s="82">
        <f t="shared" si="32"/>
        <v>6</v>
      </c>
      <c r="AK68" s="82" t="str">
        <f t="shared" si="33"/>
        <v>-</v>
      </c>
      <c r="AL68" s="82" t="str">
        <f t="shared" si="34"/>
        <v>Identifica este registro como HOMBRE</v>
      </c>
      <c r="AM68" s="82" t="str">
        <f t="shared" si="35"/>
        <v>-</v>
      </c>
      <c r="AN68" s="82" t="str">
        <f t="shared" si="36"/>
        <v>-</v>
      </c>
      <c r="AO68" s="82" t="str">
        <f t="shared" si="37"/>
        <v>-</v>
      </c>
      <c r="AP68" s="57" t="str">
        <f t="shared" si="38"/>
        <v>-</v>
      </c>
      <c r="AQ68" s="86" t="str">
        <f t="shared" si="39"/>
        <v>-</v>
      </c>
      <c r="AR68" s="86" t="str">
        <f>IF(N68="","PRIMER_DIA en blanco",
IF(AND(M68="01",N68&gt;=L_Conversion!$C$118,N68&lt;=L_Conversion!$D$118),"-",
IF(AND(M68="02",N68&gt;=L_Conversion!$C$119,N68&lt;=L_Conversion!$D$119),"-",
IF(AND(M68="03",N68&gt;=L_Conversion!$C$120,N68&lt;=L_Conversion!$D$120),"-",
IF(AND(M68="04",N68&gt;=L_Conversion!$C$121,N68&lt;=L_Conversion!$D$121),"-",
IF(AND(M68="05",N68&gt;=L_Conversion!$C$122,N68&lt;=L_Conversion!$D$122),"-",
IF(AND(M68="06",N68&gt;=L_Conversion!$C$123,N68&lt;=L_Conversion!$D$123),"-",
IF(AND(M68="07",N68&gt;=L_Conversion!$C$124,N68&lt;=L_Conversion!$D$124),"-",
IF(AND(M68="08",N68&gt;=L_Conversion!$C$125,N68&lt;=L_Conversion!$D$125),"-",
IF(AND(M68="09",N68&gt;=L_Conversion!$C$126,N68&lt;=L_Conversion!$D$126),"-",
IF(AND(M68="10",N68&gt;=L_Conversion!$C$127,N68&lt;=L_Conversion!$D$127),"-",
IF(AND(M68="11",N68&gt;=L_Conversion!$C$128,N68&lt;=L_Conversion!$D$128),"-",
IF(AND(M68="12",N68&gt;=L_Conversion!$C$129,N68&lt;=L_Conversion!$D$129),"-",
IF(AND(M68="13",N68&gt;=L_Conversion!$C$116,N68&lt;=L_Conversion!$D$116),"-",
IF(AND(M68="14",N68&gt;=L_Conversion!$C$117,N68&lt;=L_Conversion!$D$117),"-",
"PRIMER_DIA fuera de rango")))))))))))))))</f>
        <v>-</v>
      </c>
      <c r="AS68" s="86" t="str">
        <f t="shared" si="40"/>
        <v>-</v>
      </c>
      <c r="AT68" s="86" t="str">
        <f t="shared" si="41"/>
        <v>-</v>
      </c>
      <c r="AU68" s="86" t="str">
        <f t="shared" si="42"/>
        <v>-</v>
      </c>
      <c r="AV68" s="86" t="str">
        <f t="shared" si="43"/>
        <v>-</v>
      </c>
      <c r="AW68" s="86" t="str">
        <f t="shared" si="44"/>
        <v>-</v>
      </c>
      <c r="AX68" s="86" t="str">
        <f t="shared" si="45"/>
        <v>-</v>
      </c>
      <c r="AY68" s="86" t="str">
        <f t="shared" si="46"/>
        <v>-</v>
      </c>
      <c r="AZ68" s="86" t="str">
        <f t="shared" si="47"/>
        <v>-</v>
      </c>
      <c r="BA68" s="86" t="str">
        <f t="shared" si="48"/>
        <v>-</v>
      </c>
      <c r="BB68" s="86" t="str">
        <f t="shared" si="49"/>
        <v>-</v>
      </c>
      <c r="BC68" s="86" t="str">
        <f t="shared" si="50"/>
        <v>-</v>
      </c>
      <c r="BD68" s="86" t="str">
        <f t="shared" si="51"/>
        <v>-</v>
      </c>
      <c r="BE68" s="86" t="str">
        <f t="shared" si="52"/>
        <v>-</v>
      </c>
      <c r="BF68" s="86" t="str">
        <f t="shared" si="53"/>
        <v>-</v>
      </c>
    </row>
    <row r="69" spans="1:58" x14ac:dyDescent="0.2">
      <c r="A69" s="80" t="s">
        <v>1144</v>
      </c>
      <c r="B69" s="92" t="s">
        <v>678</v>
      </c>
      <c r="C69" s="202">
        <v>16366337</v>
      </c>
      <c r="D69" s="203">
        <v>6</v>
      </c>
      <c r="E69" s="204" t="s">
        <v>1338</v>
      </c>
      <c r="F69" s="204" t="s">
        <v>1339</v>
      </c>
      <c r="G69" s="204" t="s">
        <v>1340</v>
      </c>
      <c r="H69" s="205" t="s">
        <v>1033</v>
      </c>
      <c r="I69" s="205" t="s">
        <v>663</v>
      </c>
      <c r="J69" s="203">
        <v>80</v>
      </c>
      <c r="K69" s="204" t="s">
        <v>563</v>
      </c>
      <c r="L69" s="206" t="s">
        <v>516</v>
      </c>
      <c r="M69" s="210" t="s">
        <v>18</v>
      </c>
      <c r="N69" s="211">
        <v>45673</v>
      </c>
      <c r="O69" s="207">
        <v>84</v>
      </c>
      <c r="P69" s="203">
        <v>3</v>
      </c>
      <c r="Q69" s="205" t="s">
        <v>23</v>
      </c>
      <c r="R69" s="205" t="s">
        <v>11</v>
      </c>
      <c r="S69" s="205" t="s">
        <v>23</v>
      </c>
      <c r="T69" s="207">
        <v>84</v>
      </c>
      <c r="U69" s="208" t="s">
        <v>11</v>
      </c>
      <c r="V69" s="212" t="s">
        <v>11</v>
      </c>
      <c r="W69" s="212" t="s">
        <v>19</v>
      </c>
      <c r="X69" s="209">
        <v>2226336</v>
      </c>
      <c r="Y69" s="213" t="s">
        <v>735</v>
      </c>
      <c r="Z69" s="209">
        <v>84</v>
      </c>
      <c r="AA69" s="209">
        <v>2226336</v>
      </c>
      <c r="AB69" s="209">
        <v>2226336</v>
      </c>
      <c r="AC69" s="178" t="str">
        <f>IF(OR(M69="13",M69="14",P69=8),"",IF(AND(OR(S69="AUTORIZADO", S69="PENDIENTE", S69="REDUCIDO", S69="AMPLIADO"),L69&lt;&gt;"HONORARIO" ), CONCATENATE(IF(H69="X","H",H69),"_",IF(OR(P69=5,P69=6),_xlfn.CONCAT(P69,"A"),P69),"_",VLOOKUP(T69,Datos!$B$2:$C$5,2,TRUE)),""))</f>
        <v>M_3_[11 +]</v>
      </c>
      <c r="AD69" s="178">
        <f t="shared" si="27"/>
        <v>4452672</v>
      </c>
      <c r="AE69" s="82" t="str">
        <f t="shared" si="28"/>
        <v>-</v>
      </c>
      <c r="AF69" s="83" t="str">
        <f t="shared" si="29"/>
        <v>Revisar</v>
      </c>
      <c r="AG69" s="84"/>
      <c r="AH69" s="85" t="str">
        <f t="shared" si="30"/>
        <v>Corporación de Fomento de la Producción</v>
      </c>
      <c r="AI69" s="82" t="str">
        <f t="shared" si="31"/>
        <v>-</v>
      </c>
      <c r="AJ69" s="82">
        <f t="shared" si="32"/>
        <v>6</v>
      </c>
      <c r="AK69" s="82" t="str">
        <f t="shared" si="33"/>
        <v>-</v>
      </c>
      <c r="AL69" s="82" t="str">
        <f t="shared" si="34"/>
        <v>Identifica este registro como MUJER</v>
      </c>
      <c r="AM69" s="82" t="str">
        <f t="shared" si="35"/>
        <v>-</v>
      </c>
      <c r="AN69" s="82" t="str">
        <f t="shared" si="36"/>
        <v>-</v>
      </c>
      <c r="AO69" s="82" t="str">
        <f t="shared" si="37"/>
        <v>-</v>
      </c>
      <c r="AP69" s="57" t="str">
        <f t="shared" si="38"/>
        <v>-</v>
      </c>
      <c r="AQ69" s="86" t="str">
        <f t="shared" si="39"/>
        <v>-</v>
      </c>
      <c r="AR69" s="86" t="str">
        <f>IF(N69="","PRIMER_DIA en blanco",
IF(AND(M69="01",N69&gt;=L_Conversion!$C$118,N69&lt;=L_Conversion!$D$118),"-",
IF(AND(M69="02",N69&gt;=L_Conversion!$C$119,N69&lt;=L_Conversion!$D$119),"-",
IF(AND(M69="03",N69&gt;=L_Conversion!$C$120,N69&lt;=L_Conversion!$D$120),"-",
IF(AND(M69="04",N69&gt;=L_Conversion!$C$121,N69&lt;=L_Conversion!$D$121),"-",
IF(AND(M69="05",N69&gt;=L_Conversion!$C$122,N69&lt;=L_Conversion!$D$122),"-",
IF(AND(M69="06",N69&gt;=L_Conversion!$C$123,N69&lt;=L_Conversion!$D$123),"-",
IF(AND(M69="07",N69&gt;=L_Conversion!$C$124,N69&lt;=L_Conversion!$D$124),"-",
IF(AND(M69="08",N69&gt;=L_Conversion!$C$125,N69&lt;=L_Conversion!$D$125),"-",
IF(AND(M69="09",N69&gt;=L_Conversion!$C$126,N69&lt;=L_Conversion!$D$126),"-",
IF(AND(M69="10",N69&gt;=L_Conversion!$C$127,N69&lt;=L_Conversion!$D$127),"-",
IF(AND(M69="11",N69&gt;=L_Conversion!$C$128,N69&lt;=L_Conversion!$D$128),"-",
IF(AND(M69="12",N69&gt;=L_Conversion!$C$129,N69&lt;=L_Conversion!$D$129),"-",
IF(AND(M69="13",N69&gt;=L_Conversion!$C$116,N69&lt;=L_Conversion!$D$116),"-",
IF(AND(M69="14",N69&gt;=L_Conversion!$C$117,N69&lt;=L_Conversion!$D$117),"-",
"PRIMER_DIA fuera de rango")))))))))))))))</f>
        <v>-</v>
      </c>
      <c r="AS69" s="86" t="str">
        <f t="shared" si="40"/>
        <v>-</v>
      </c>
      <c r="AT69" s="86" t="str">
        <f t="shared" si="41"/>
        <v>-</v>
      </c>
      <c r="AU69" s="86" t="str">
        <f t="shared" si="42"/>
        <v>-</v>
      </c>
      <c r="AV69" s="86" t="str">
        <f t="shared" si="43"/>
        <v>-</v>
      </c>
      <c r="AW69" s="86" t="str">
        <f t="shared" si="44"/>
        <v>-</v>
      </c>
      <c r="AX69" s="86" t="str">
        <f t="shared" si="45"/>
        <v>-</v>
      </c>
      <c r="AY69" s="86" t="str">
        <f t="shared" si="46"/>
        <v>-</v>
      </c>
      <c r="AZ69" s="86" t="str">
        <f t="shared" si="47"/>
        <v>-</v>
      </c>
      <c r="BA69" s="86" t="str">
        <f t="shared" si="48"/>
        <v>-</v>
      </c>
      <c r="BB69" s="86" t="str">
        <f t="shared" si="49"/>
        <v>-</v>
      </c>
      <c r="BC69" s="86" t="str">
        <f t="shared" si="50"/>
        <v>-</v>
      </c>
      <c r="BD69" s="86" t="str">
        <f t="shared" si="51"/>
        <v>-</v>
      </c>
      <c r="BE69" s="86" t="str">
        <f t="shared" si="52"/>
        <v>-</v>
      </c>
      <c r="BF69" s="86" t="str">
        <f t="shared" si="53"/>
        <v>-</v>
      </c>
    </row>
    <row r="70" spans="1:58" x14ac:dyDescent="0.2">
      <c r="A70" s="80" t="s">
        <v>1144</v>
      </c>
      <c r="B70" s="92" t="s">
        <v>76</v>
      </c>
      <c r="C70" s="202">
        <v>10027670</v>
      </c>
      <c r="D70" s="203">
        <v>4</v>
      </c>
      <c r="E70" s="204" t="s">
        <v>1147</v>
      </c>
      <c r="F70" s="204" t="s">
        <v>1341</v>
      </c>
      <c r="G70" s="204" t="s">
        <v>1342</v>
      </c>
      <c r="H70" s="205" t="s">
        <v>663</v>
      </c>
      <c r="I70" s="205" t="s">
        <v>662</v>
      </c>
      <c r="J70" s="203">
        <v>80</v>
      </c>
      <c r="K70" s="204" t="s">
        <v>567</v>
      </c>
      <c r="L70" s="206" t="s">
        <v>502</v>
      </c>
      <c r="M70" s="210" t="s">
        <v>18</v>
      </c>
      <c r="N70" s="211">
        <v>45674</v>
      </c>
      <c r="O70" s="207">
        <v>30</v>
      </c>
      <c r="P70" s="203">
        <v>1</v>
      </c>
      <c r="Q70" s="205" t="s">
        <v>23</v>
      </c>
      <c r="R70" s="205" t="s">
        <v>11</v>
      </c>
      <c r="S70" s="205" t="s">
        <v>23</v>
      </c>
      <c r="T70" s="207">
        <v>30</v>
      </c>
      <c r="U70" s="208" t="s">
        <v>11</v>
      </c>
      <c r="V70" s="212" t="s">
        <v>11</v>
      </c>
      <c r="W70" s="212" t="s">
        <v>19</v>
      </c>
      <c r="X70" s="209">
        <v>782646</v>
      </c>
      <c r="Y70" s="213" t="s">
        <v>735</v>
      </c>
      <c r="Z70" s="209">
        <v>30</v>
      </c>
      <c r="AA70" s="209">
        <v>782646</v>
      </c>
      <c r="AB70" s="209">
        <v>782646</v>
      </c>
      <c r="AC70" s="178" t="str">
        <f>IF(OR(M70="13",M70="14",P70=8),"",IF(AND(OR(S70="AUTORIZADO", S70="PENDIENTE", S70="REDUCIDO", S70="AMPLIADO"),L70&lt;&gt;"HONORARIO" ), CONCATENATE(IF(H70="X","H",H70),"_",IF(OR(P70=5,P70=6),_xlfn.CONCAT(P70,"A"),P70),"_",VLOOKUP(T70,Datos!$B$2:$C$5,2,TRUE)),""))</f>
        <v>H_1_[11 +]</v>
      </c>
      <c r="AD70" s="178">
        <f t="shared" si="27"/>
        <v>1565292</v>
      </c>
      <c r="AE70" s="82" t="str">
        <f t="shared" si="28"/>
        <v>-</v>
      </c>
      <c r="AF70" s="83" t="str">
        <f t="shared" si="29"/>
        <v>070601</v>
      </c>
      <c r="AG70" s="84"/>
      <c r="AH70" s="85" t="str">
        <f t="shared" si="30"/>
        <v>Corporación de Fomento de la Producción</v>
      </c>
      <c r="AI70" s="82" t="str">
        <f t="shared" si="31"/>
        <v>-</v>
      </c>
      <c r="AJ70" s="82">
        <f t="shared" si="32"/>
        <v>4</v>
      </c>
      <c r="AK70" s="82" t="str">
        <f t="shared" si="33"/>
        <v>-</v>
      </c>
      <c r="AL70" s="82" t="str">
        <f t="shared" si="34"/>
        <v>Identifica este registro como HOMBRE</v>
      </c>
      <c r="AM70" s="82" t="str">
        <f t="shared" si="35"/>
        <v>-</v>
      </c>
      <c r="AN70" s="82" t="str">
        <f t="shared" si="36"/>
        <v>-</v>
      </c>
      <c r="AO70" s="82" t="str">
        <f t="shared" si="37"/>
        <v>-</v>
      </c>
      <c r="AP70" s="57" t="str">
        <f t="shared" si="38"/>
        <v>-</v>
      </c>
      <c r="AQ70" s="86" t="str">
        <f t="shared" si="39"/>
        <v>-</v>
      </c>
      <c r="AR70" s="86" t="str">
        <f>IF(N70="","PRIMER_DIA en blanco",
IF(AND(M70="01",N70&gt;=L_Conversion!$C$118,N70&lt;=L_Conversion!$D$118),"-",
IF(AND(M70="02",N70&gt;=L_Conversion!$C$119,N70&lt;=L_Conversion!$D$119),"-",
IF(AND(M70="03",N70&gt;=L_Conversion!$C$120,N70&lt;=L_Conversion!$D$120),"-",
IF(AND(M70="04",N70&gt;=L_Conversion!$C$121,N70&lt;=L_Conversion!$D$121),"-",
IF(AND(M70="05",N70&gt;=L_Conversion!$C$122,N70&lt;=L_Conversion!$D$122),"-",
IF(AND(M70="06",N70&gt;=L_Conversion!$C$123,N70&lt;=L_Conversion!$D$123),"-",
IF(AND(M70="07",N70&gt;=L_Conversion!$C$124,N70&lt;=L_Conversion!$D$124),"-",
IF(AND(M70="08",N70&gt;=L_Conversion!$C$125,N70&lt;=L_Conversion!$D$125),"-",
IF(AND(M70="09",N70&gt;=L_Conversion!$C$126,N70&lt;=L_Conversion!$D$126),"-",
IF(AND(M70="10",N70&gt;=L_Conversion!$C$127,N70&lt;=L_Conversion!$D$127),"-",
IF(AND(M70="11",N70&gt;=L_Conversion!$C$128,N70&lt;=L_Conversion!$D$128),"-",
IF(AND(M70="12",N70&gt;=L_Conversion!$C$129,N70&lt;=L_Conversion!$D$129),"-",
IF(AND(M70="13",N70&gt;=L_Conversion!$C$116,N70&lt;=L_Conversion!$D$116),"-",
IF(AND(M70="14",N70&gt;=L_Conversion!$C$117,N70&lt;=L_Conversion!$D$117),"-",
"PRIMER_DIA fuera de rango")))))))))))))))</f>
        <v>-</v>
      </c>
      <c r="AS70" s="86" t="str">
        <f t="shared" si="40"/>
        <v>-</v>
      </c>
      <c r="AT70" s="86" t="str">
        <f t="shared" si="41"/>
        <v>-</v>
      </c>
      <c r="AU70" s="86" t="str">
        <f t="shared" si="42"/>
        <v>-</v>
      </c>
      <c r="AV70" s="86" t="str">
        <f t="shared" si="43"/>
        <v>-</v>
      </c>
      <c r="AW70" s="86" t="str">
        <f t="shared" si="44"/>
        <v>-</v>
      </c>
      <c r="AX70" s="86" t="str">
        <f t="shared" si="45"/>
        <v>-</v>
      </c>
      <c r="AY70" s="86" t="str">
        <f t="shared" si="46"/>
        <v>-</v>
      </c>
      <c r="AZ70" s="86" t="str">
        <f t="shared" si="47"/>
        <v>-</v>
      </c>
      <c r="BA70" s="86" t="str">
        <f t="shared" si="48"/>
        <v>-</v>
      </c>
      <c r="BB70" s="86" t="str">
        <f t="shared" si="49"/>
        <v>-</v>
      </c>
      <c r="BC70" s="86" t="str">
        <f t="shared" si="50"/>
        <v>-</v>
      </c>
      <c r="BD70" s="86" t="str">
        <f t="shared" si="51"/>
        <v>-</v>
      </c>
      <c r="BE70" s="86" t="str">
        <f t="shared" si="52"/>
        <v>-</v>
      </c>
      <c r="BF70" s="86" t="str">
        <f t="shared" si="53"/>
        <v>-</v>
      </c>
    </row>
    <row r="71" spans="1:58" x14ac:dyDescent="0.2">
      <c r="A71" s="80" t="s">
        <v>1144</v>
      </c>
      <c r="B71" s="92" t="s">
        <v>76</v>
      </c>
      <c r="C71" s="202">
        <v>12396821</v>
      </c>
      <c r="D71" s="203">
        <v>2</v>
      </c>
      <c r="E71" s="204" t="s">
        <v>1180</v>
      </c>
      <c r="F71" s="204" t="s">
        <v>1343</v>
      </c>
      <c r="G71" s="204" t="s">
        <v>1344</v>
      </c>
      <c r="H71" s="205" t="s">
        <v>663</v>
      </c>
      <c r="I71" s="205" t="s">
        <v>662</v>
      </c>
      <c r="J71" s="203">
        <v>80</v>
      </c>
      <c r="K71" s="204" t="s">
        <v>567</v>
      </c>
      <c r="L71" s="206" t="s">
        <v>502</v>
      </c>
      <c r="M71" s="210" t="s">
        <v>18</v>
      </c>
      <c r="N71" s="211">
        <v>45674</v>
      </c>
      <c r="O71" s="207">
        <v>1</v>
      </c>
      <c r="P71" s="203">
        <v>1</v>
      </c>
      <c r="Q71" s="205" t="s">
        <v>23</v>
      </c>
      <c r="R71" s="205" t="s">
        <v>11</v>
      </c>
      <c r="S71" s="205" t="s">
        <v>23</v>
      </c>
      <c r="T71" s="207">
        <v>1</v>
      </c>
      <c r="U71" s="208" t="s">
        <v>11</v>
      </c>
      <c r="V71" s="212" t="s">
        <v>19</v>
      </c>
      <c r="W71" s="212" t="s">
        <v>19</v>
      </c>
      <c r="X71" s="209">
        <v>10971</v>
      </c>
      <c r="Y71" s="213" t="s">
        <v>735</v>
      </c>
      <c r="Z71" s="209">
        <v>1</v>
      </c>
      <c r="AA71" s="209">
        <v>10971</v>
      </c>
      <c r="AB71" s="209">
        <v>10971</v>
      </c>
      <c r="AC71" s="178" t="str">
        <f>IF(OR(M71="13",M71="14",P71=8),"",IF(AND(OR(S71="AUTORIZADO", S71="PENDIENTE", S71="REDUCIDO", S71="AMPLIADO"),L71&lt;&gt;"HONORARIO" ), CONCATENATE(IF(H71="X","H",H71),"_",IF(OR(P71=5,P71=6),_xlfn.CONCAT(P71,"A"),P71),"_",VLOOKUP(T71,Datos!$B$2:$C$5,2,TRUE)),""))</f>
        <v>H_1_[hasta 3]</v>
      </c>
      <c r="AD71" s="178">
        <f t="shared" si="27"/>
        <v>21942</v>
      </c>
      <c r="AE71" s="82" t="str">
        <f t="shared" si="28"/>
        <v>-</v>
      </c>
      <c r="AF71" s="83" t="str">
        <f t="shared" si="29"/>
        <v>070601</v>
      </c>
      <c r="AG71" s="84"/>
      <c r="AH71" s="85" t="str">
        <f t="shared" si="30"/>
        <v>Corporación de Fomento de la Producción</v>
      </c>
      <c r="AI71" s="82" t="str">
        <f t="shared" si="31"/>
        <v>-</v>
      </c>
      <c r="AJ71" s="82">
        <f t="shared" si="32"/>
        <v>2</v>
      </c>
      <c r="AK71" s="82" t="str">
        <f t="shared" si="33"/>
        <v>-</v>
      </c>
      <c r="AL71" s="82" t="str">
        <f t="shared" si="34"/>
        <v>Identifica este registro como HOMBRE</v>
      </c>
      <c r="AM71" s="82" t="str">
        <f t="shared" si="35"/>
        <v>-</v>
      </c>
      <c r="AN71" s="82" t="str">
        <f t="shared" si="36"/>
        <v>-</v>
      </c>
      <c r="AO71" s="82" t="str">
        <f t="shared" si="37"/>
        <v>-</v>
      </c>
      <c r="AP71" s="57" t="str">
        <f t="shared" si="38"/>
        <v>-</v>
      </c>
      <c r="AQ71" s="86" t="str">
        <f t="shared" si="39"/>
        <v>-</v>
      </c>
      <c r="AR71" s="86" t="str">
        <f>IF(N71="","PRIMER_DIA en blanco",
IF(AND(M71="01",N71&gt;=L_Conversion!$C$118,N71&lt;=L_Conversion!$D$118),"-",
IF(AND(M71="02",N71&gt;=L_Conversion!$C$119,N71&lt;=L_Conversion!$D$119),"-",
IF(AND(M71="03",N71&gt;=L_Conversion!$C$120,N71&lt;=L_Conversion!$D$120),"-",
IF(AND(M71="04",N71&gt;=L_Conversion!$C$121,N71&lt;=L_Conversion!$D$121),"-",
IF(AND(M71="05",N71&gt;=L_Conversion!$C$122,N71&lt;=L_Conversion!$D$122),"-",
IF(AND(M71="06",N71&gt;=L_Conversion!$C$123,N71&lt;=L_Conversion!$D$123),"-",
IF(AND(M71="07",N71&gt;=L_Conversion!$C$124,N71&lt;=L_Conversion!$D$124),"-",
IF(AND(M71="08",N71&gt;=L_Conversion!$C$125,N71&lt;=L_Conversion!$D$125),"-",
IF(AND(M71="09",N71&gt;=L_Conversion!$C$126,N71&lt;=L_Conversion!$D$126),"-",
IF(AND(M71="10",N71&gt;=L_Conversion!$C$127,N71&lt;=L_Conversion!$D$127),"-",
IF(AND(M71="11",N71&gt;=L_Conversion!$C$128,N71&lt;=L_Conversion!$D$128),"-",
IF(AND(M71="12",N71&gt;=L_Conversion!$C$129,N71&lt;=L_Conversion!$D$129),"-",
IF(AND(M71="13",N71&gt;=L_Conversion!$C$116,N71&lt;=L_Conversion!$D$116),"-",
IF(AND(M71="14",N71&gt;=L_Conversion!$C$117,N71&lt;=L_Conversion!$D$117),"-",
"PRIMER_DIA fuera de rango")))))))))))))))</f>
        <v>-</v>
      </c>
      <c r="AS71" s="86" t="str">
        <f t="shared" si="40"/>
        <v>-</v>
      </c>
      <c r="AT71" s="86" t="str">
        <f t="shared" si="41"/>
        <v>-</v>
      </c>
      <c r="AU71" s="86" t="str">
        <f t="shared" si="42"/>
        <v>-</v>
      </c>
      <c r="AV71" s="86" t="str">
        <f t="shared" si="43"/>
        <v>-</v>
      </c>
      <c r="AW71" s="86" t="str">
        <f t="shared" si="44"/>
        <v>-</v>
      </c>
      <c r="AX71" s="86" t="str">
        <f t="shared" si="45"/>
        <v>-</v>
      </c>
      <c r="AY71" s="86" t="str">
        <f t="shared" si="46"/>
        <v>-</v>
      </c>
      <c r="AZ71" s="86" t="str">
        <f t="shared" si="47"/>
        <v>-</v>
      </c>
      <c r="BA71" s="86" t="str">
        <f t="shared" si="48"/>
        <v>-</v>
      </c>
      <c r="BB71" s="86" t="str">
        <f t="shared" si="49"/>
        <v>-</v>
      </c>
      <c r="BC71" s="86" t="str">
        <f t="shared" si="50"/>
        <v>-</v>
      </c>
      <c r="BD71" s="86" t="str">
        <f t="shared" si="51"/>
        <v>-</v>
      </c>
      <c r="BE71" s="86" t="str">
        <f t="shared" si="52"/>
        <v>-</v>
      </c>
      <c r="BF71" s="86" t="str">
        <f t="shared" si="53"/>
        <v>-</v>
      </c>
    </row>
    <row r="72" spans="1:58" x14ac:dyDescent="0.2">
      <c r="A72" s="80" t="s">
        <v>1144</v>
      </c>
      <c r="B72" s="92" t="s">
        <v>76</v>
      </c>
      <c r="C72" s="202">
        <v>16128559</v>
      </c>
      <c r="D72" s="203">
        <v>5</v>
      </c>
      <c r="E72" s="204" t="s">
        <v>1345</v>
      </c>
      <c r="F72" s="204" t="s">
        <v>1346</v>
      </c>
      <c r="G72" s="204" t="s">
        <v>1347</v>
      </c>
      <c r="H72" s="205" t="s">
        <v>663</v>
      </c>
      <c r="I72" s="205" t="s">
        <v>662</v>
      </c>
      <c r="J72" s="203">
        <v>80</v>
      </c>
      <c r="K72" s="204" t="s">
        <v>563</v>
      </c>
      <c r="L72" s="206" t="s">
        <v>502</v>
      </c>
      <c r="M72" s="210" t="s">
        <v>18</v>
      </c>
      <c r="N72" s="211">
        <v>45675</v>
      </c>
      <c r="O72" s="207">
        <v>30</v>
      </c>
      <c r="P72" s="203">
        <v>1</v>
      </c>
      <c r="Q72" s="205" t="s">
        <v>23</v>
      </c>
      <c r="R72" s="205" t="s">
        <v>11</v>
      </c>
      <c r="S72" s="205" t="s">
        <v>23</v>
      </c>
      <c r="T72" s="207">
        <v>30</v>
      </c>
      <c r="U72" s="208" t="s">
        <v>11</v>
      </c>
      <c r="V72" s="212" t="s">
        <v>11</v>
      </c>
      <c r="W72" s="212" t="s">
        <v>19</v>
      </c>
      <c r="X72" s="209">
        <v>1277306</v>
      </c>
      <c r="Y72" s="213" t="s">
        <v>735</v>
      </c>
      <c r="Z72" s="209">
        <v>30</v>
      </c>
      <c r="AA72" s="209">
        <v>1277306</v>
      </c>
      <c r="AB72" s="209">
        <v>1277306</v>
      </c>
      <c r="AC72" s="178" t="str">
        <f>IF(OR(M72="13",M72="14",P72=8),"",IF(AND(OR(S72="AUTORIZADO", S72="PENDIENTE", S72="REDUCIDO", S72="AMPLIADO"),L72&lt;&gt;"HONORARIO" ), CONCATENATE(IF(H72="X","H",H72),"_",IF(OR(P72=5,P72=6),_xlfn.CONCAT(P72,"A"),P72),"_",VLOOKUP(T72,Datos!$B$2:$C$5,2,TRUE)),""))</f>
        <v>H_1_[11 +]</v>
      </c>
      <c r="AD72" s="178">
        <f t="shared" si="27"/>
        <v>2554612</v>
      </c>
      <c r="AE72" s="82" t="str">
        <f t="shared" si="28"/>
        <v>-</v>
      </c>
      <c r="AF72" s="83" t="str">
        <f t="shared" si="29"/>
        <v>070601</v>
      </c>
      <c r="AG72" s="84"/>
      <c r="AH72" s="85" t="str">
        <f t="shared" si="30"/>
        <v>Corporación de Fomento de la Producción</v>
      </c>
      <c r="AI72" s="82" t="str">
        <f t="shared" si="31"/>
        <v>-</v>
      </c>
      <c r="AJ72" s="82">
        <f t="shared" si="32"/>
        <v>5</v>
      </c>
      <c r="AK72" s="82" t="str">
        <f t="shared" si="33"/>
        <v>-</v>
      </c>
      <c r="AL72" s="82" t="str">
        <f t="shared" si="34"/>
        <v>Identifica este registro como HOMBRE</v>
      </c>
      <c r="AM72" s="82" t="str">
        <f t="shared" si="35"/>
        <v>-</v>
      </c>
      <c r="AN72" s="82" t="str">
        <f t="shared" si="36"/>
        <v>-</v>
      </c>
      <c r="AO72" s="82" t="str">
        <f t="shared" si="37"/>
        <v>-</v>
      </c>
      <c r="AP72" s="57" t="str">
        <f t="shared" si="38"/>
        <v>-</v>
      </c>
      <c r="AQ72" s="86" t="str">
        <f t="shared" si="39"/>
        <v>-</v>
      </c>
      <c r="AR72" s="86" t="str">
        <f>IF(N72="","PRIMER_DIA en blanco",
IF(AND(M72="01",N72&gt;=L_Conversion!$C$118,N72&lt;=L_Conversion!$D$118),"-",
IF(AND(M72="02",N72&gt;=L_Conversion!$C$119,N72&lt;=L_Conversion!$D$119),"-",
IF(AND(M72="03",N72&gt;=L_Conversion!$C$120,N72&lt;=L_Conversion!$D$120),"-",
IF(AND(M72="04",N72&gt;=L_Conversion!$C$121,N72&lt;=L_Conversion!$D$121),"-",
IF(AND(M72="05",N72&gt;=L_Conversion!$C$122,N72&lt;=L_Conversion!$D$122),"-",
IF(AND(M72="06",N72&gt;=L_Conversion!$C$123,N72&lt;=L_Conversion!$D$123),"-",
IF(AND(M72="07",N72&gt;=L_Conversion!$C$124,N72&lt;=L_Conversion!$D$124),"-",
IF(AND(M72="08",N72&gt;=L_Conversion!$C$125,N72&lt;=L_Conversion!$D$125),"-",
IF(AND(M72="09",N72&gt;=L_Conversion!$C$126,N72&lt;=L_Conversion!$D$126),"-",
IF(AND(M72="10",N72&gt;=L_Conversion!$C$127,N72&lt;=L_Conversion!$D$127),"-",
IF(AND(M72="11",N72&gt;=L_Conversion!$C$128,N72&lt;=L_Conversion!$D$128),"-",
IF(AND(M72="12",N72&gt;=L_Conversion!$C$129,N72&lt;=L_Conversion!$D$129),"-",
IF(AND(M72="13",N72&gt;=L_Conversion!$C$116,N72&lt;=L_Conversion!$D$116),"-",
IF(AND(M72="14",N72&gt;=L_Conversion!$C$117,N72&lt;=L_Conversion!$D$117),"-",
"PRIMER_DIA fuera de rango")))))))))))))))</f>
        <v>-</v>
      </c>
      <c r="AS72" s="86" t="str">
        <f t="shared" si="40"/>
        <v>-</v>
      </c>
      <c r="AT72" s="86" t="str">
        <f t="shared" si="41"/>
        <v>-</v>
      </c>
      <c r="AU72" s="86" t="str">
        <f t="shared" si="42"/>
        <v>-</v>
      </c>
      <c r="AV72" s="86" t="str">
        <f t="shared" si="43"/>
        <v>-</v>
      </c>
      <c r="AW72" s="86" t="str">
        <f t="shared" si="44"/>
        <v>-</v>
      </c>
      <c r="AX72" s="86" t="str">
        <f t="shared" si="45"/>
        <v>-</v>
      </c>
      <c r="AY72" s="86" t="str">
        <f t="shared" si="46"/>
        <v>-</v>
      </c>
      <c r="AZ72" s="86" t="str">
        <f t="shared" si="47"/>
        <v>-</v>
      </c>
      <c r="BA72" s="86" t="str">
        <f t="shared" si="48"/>
        <v>-</v>
      </c>
      <c r="BB72" s="86" t="str">
        <f t="shared" si="49"/>
        <v>-</v>
      </c>
      <c r="BC72" s="86" t="str">
        <f t="shared" si="50"/>
        <v>-</v>
      </c>
      <c r="BD72" s="86" t="str">
        <f t="shared" si="51"/>
        <v>-</v>
      </c>
      <c r="BE72" s="86" t="str">
        <f t="shared" si="52"/>
        <v>-</v>
      </c>
      <c r="BF72" s="86" t="str">
        <f t="shared" si="53"/>
        <v>-</v>
      </c>
    </row>
    <row r="73" spans="1:58" x14ac:dyDescent="0.2">
      <c r="A73" s="80" t="s">
        <v>1144</v>
      </c>
      <c r="B73" s="92" t="s">
        <v>76</v>
      </c>
      <c r="C73" s="202">
        <v>12607437</v>
      </c>
      <c r="D73" s="203">
        <v>9</v>
      </c>
      <c r="E73" s="204" t="s">
        <v>1277</v>
      </c>
      <c r="F73" s="204" t="s">
        <v>1348</v>
      </c>
      <c r="G73" s="204" t="s">
        <v>1349</v>
      </c>
      <c r="H73" s="205" t="s">
        <v>1033</v>
      </c>
      <c r="I73" s="205" t="s">
        <v>662</v>
      </c>
      <c r="J73" s="203">
        <v>80</v>
      </c>
      <c r="K73" s="204" t="s">
        <v>563</v>
      </c>
      <c r="L73" s="206" t="s">
        <v>502</v>
      </c>
      <c r="M73" s="210" t="s">
        <v>18</v>
      </c>
      <c r="N73" s="211">
        <v>45675</v>
      </c>
      <c r="O73" s="207">
        <v>30</v>
      </c>
      <c r="P73" s="203">
        <v>1</v>
      </c>
      <c r="Q73" s="205" t="s">
        <v>23</v>
      </c>
      <c r="R73" s="205" t="s">
        <v>11</v>
      </c>
      <c r="S73" s="205" t="s">
        <v>23</v>
      </c>
      <c r="T73" s="207">
        <v>30</v>
      </c>
      <c r="U73" s="208" t="s">
        <v>11</v>
      </c>
      <c r="V73" s="212" t="s">
        <v>11</v>
      </c>
      <c r="W73" s="212" t="s">
        <v>19</v>
      </c>
      <c r="X73" s="209">
        <v>2853505</v>
      </c>
      <c r="Y73" s="213" t="s">
        <v>735</v>
      </c>
      <c r="Z73" s="209">
        <v>30</v>
      </c>
      <c r="AA73" s="209">
        <v>2853505</v>
      </c>
      <c r="AB73" s="209">
        <v>2853505</v>
      </c>
      <c r="AC73" s="178" t="str">
        <f>IF(OR(M73="13",M73="14",P73=8),"",IF(AND(OR(S73="AUTORIZADO", S73="PENDIENTE", S73="REDUCIDO", S73="AMPLIADO"),L73&lt;&gt;"HONORARIO" ), CONCATENATE(IF(H73="X","H",H73),"_",IF(OR(P73=5,P73=6),_xlfn.CONCAT(P73,"A"),P73),"_",VLOOKUP(T73,Datos!$B$2:$C$5,2,TRUE)),""))</f>
        <v>M_1_[11 +]</v>
      </c>
      <c r="AD73" s="178">
        <f t="shared" si="27"/>
        <v>5707010</v>
      </c>
      <c r="AE73" s="82" t="str">
        <f t="shared" si="28"/>
        <v>-</v>
      </c>
      <c r="AF73" s="83" t="str">
        <f t="shared" si="29"/>
        <v>070601</v>
      </c>
      <c r="AG73" s="84"/>
      <c r="AH73" s="85" t="str">
        <f t="shared" si="30"/>
        <v>Corporación de Fomento de la Producción</v>
      </c>
      <c r="AI73" s="82" t="str">
        <f t="shared" si="31"/>
        <v>-</v>
      </c>
      <c r="AJ73" s="82">
        <f t="shared" si="32"/>
        <v>9</v>
      </c>
      <c r="AK73" s="82" t="str">
        <f t="shared" si="33"/>
        <v>-</v>
      </c>
      <c r="AL73" s="82" t="str">
        <f t="shared" si="34"/>
        <v>Identifica este registro como MUJER</v>
      </c>
      <c r="AM73" s="82" t="str">
        <f t="shared" si="35"/>
        <v>-</v>
      </c>
      <c r="AN73" s="82" t="str">
        <f t="shared" si="36"/>
        <v>-</v>
      </c>
      <c r="AO73" s="82" t="str">
        <f t="shared" si="37"/>
        <v>-</v>
      </c>
      <c r="AP73" s="57" t="str">
        <f t="shared" si="38"/>
        <v>-</v>
      </c>
      <c r="AQ73" s="86" t="str">
        <f t="shared" si="39"/>
        <v>-</v>
      </c>
      <c r="AR73" s="86" t="str">
        <f>IF(N73="","PRIMER_DIA en blanco",
IF(AND(M73="01",N73&gt;=L_Conversion!$C$118,N73&lt;=L_Conversion!$D$118),"-",
IF(AND(M73="02",N73&gt;=L_Conversion!$C$119,N73&lt;=L_Conversion!$D$119),"-",
IF(AND(M73="03",N73&gt;=L_Conversion!$C$120,N73&lt;=L_Conversion!$D$120),"-",
IF(AND(M73="04",N73&gt;=L_Conversion!$C$121,N73&lt;=L_Conversion!$D$121),"-",
IF(AND(M73="05",N73&gt;=L_Conversion!$C$122,N73&lt;=L_Conversion!$D$122),"-",
IF(AND(M73="06",N73&gt;=L_Conversion!$C$123,N73&lt;=L_Conversion!$D$123),"-",
IF(AND(M73="07",N73&gt;=L_Conversion!$C$124,N73&lt;=L_Conversion!$D$124),"-",
IF(AND(M73="08",N73&gt;=L_Conversion!$C$125,N73&lt;=L_Conversion!$D$125),"-",
IF(AND(M73="09",N73&gt;=L_Conversion!$C$126,N73&lt;=L_Conversion!$D$126),"-",
IF(AND(M73="10",N73&gt;=L_Conversion!$C$127,N73&lt;=L_Conversion!$D$127),"-",
IF(AND(M73="11",N73&gt;=L_Conversion!$C$128,N73&lt;=L_Conversion!$D$128),"-",
IF(AND(M73="12",N73&gt;=L_Conversion!$C$129,N73&lt;=L_Conversion!$D$129),"-",
IF(AND(M73="13",N73&gt;=L_Conversion!$C$116,N73&lt;=L_Conversion!$D$116),"-",
IF(AND(M73="14",N73&gt;=L_Conversion!$C$117,N73&lt;=L_Conversion!$D$117),"-",
"PRIMER_DIA fuera de rango")))))))))))))))</f>
        <v>-</v>
      </c>
      <c r="AS73" s="86" t="str">
        <f t="shared" si="40"/>
        <v>-</v>
      </c>
      <c r="AT73" s="86" t="str">
        <f t="shared" si="41"/>
        <v>-</v>
      </c>
      <c r="AU73" s="86" t="str">
        <f t="shared" si="42"/>
        <v>-</v>
      </c>
      <c r="AV73" s="86" t="str">
        <f t="shared" si="43"/>
        <v>-</v>
      </c>
      <c r="AW73" s="86" t="str">
        <f t="shared" si="44"/>
        <v>-</v>
      </c>
      <c r="AX73" s="86" t="str">
        <f t="shared" si="45"/>
        <v>-</v>
      </c>
      <c r="AY73" s="86" t="str">
        <f t="shared" si="46"/>
        <v>-</v>
      </c>
      <c r="AZ73" s="86" t="str">
        <f t="shared" si="47"/>
        <v>-</v>
      </c>
      <c r="BA73" s="86" t="str">
        <f t="shared" si="48"/>
        <v>-</v>
      </c>
      <c r="BB73" s="86" t="str">
        <f t="shared" si="49"/>
        <v>-</v>
      </c>
      <c r="BC73" s="86" t="str">
        <f t="shared" si="50"/>
        <v>-</v>
      </c>
      <c r="BD73" s="86" t="str">
        <f t="shared" si="51"/>
        <v>-</v>
      </c>
      <c r="BE73" s="86" t="str">
        <f t="shared" si="52"/>
        <v>-</v>
      </c>
      <c r="BF73" s="86" t="str">
        <f t="shared" si="53"/>
        <v>-</v>
      </c>
    </row>
    <row r="74" spans="1:58" x14ac:dyDescent="0.2">
      <c r="A74" s="80" t="s">
        <v>1144</v>
      </c>
      <c r="B74" s="92" t="s">
        <v>76</v>
      </c>
      <c r="C74" s="202">
        <v>17707627</v>
      </c>
      <c r="D74" s="203">
        <v>9</v>
      </c>
      <c r="E74" s="204" t="s">
        <v>1350</v>
      </c>
      <c r="F74" s="204" t="s">
        <v>1185</v>
      </c>
      <c r="G74" s="204" t="s">
        <v>1351</v>
      </c>
      <c r="H74" s="205" t="s">
        <v>1033</v>
      </c>
      <c r="I74" s="205" t="s">
        <v>662</v>
      </c>
      <c r="J74" s="203">
        <v>80</v>
      </c>
      <c r="K74" s="204" t="s">
        <v>567</v>
      </c>
      <c r="L74" s="206" t="s">
        <v>502</v>
      </c>
      <c r="M74" s="210" t="s">
        <v>18</v>
      </c>
      <c r="N74" s="211">
        <v>45676</v>
      </c>
      <c r="O74" s="207">
        <v>84</v>
      </c>
      <c r="P74" s="203">
        <v>3</v>
      </c>
      <c r="Q74" s="205" t="s">
        <v>23</v>
      </c>
      <c r="R74" s="205" t="s">
        <v>11</v>
      </c>
      <c r="S74" s="205" t="s">
        <v>23</v>
      </c>
      <c r="T74" s="207">
        <v>84</v>
      </c>
      <c r="U74" s="208" t="s">
        <v>11</v>
      </c>
      <c r="V74" s="212" t="s">
        <v>11</v>
      </c>
      <c r="W74" s="212" t="s">
        <v>19</v>
      </c>
      <c r="X74" s="209">
        <v>5045359</v>
      </c>
      <c r="Y74" s="213" t="s">
        <v>735</v>
      </c>
      <c r="Z74" s="209">
        <v>84</v>
      </c>
      <c r="AA74" s="209">
        <v>5045359</v>
      </c>
      <c r="AB74" s="209">
        <v>5045359</v>
      </c>
      <c r="AC74" s="178" t="str">
        <f>IF(OR(M74="13",M74="14",P74=8),"",IF(AND(OR(S74="AUTORIZADO", S74="PENDIENTE", S74="REDUCIDO", S74="AMPLIADO"),L74&lt;&gt;"HONORARIO" ), CONCATENATE(IF(H74="X","H",H74),"_",IF(OR(P74=5,P74=6),_xlfn.CONCAT(P74,"A"),P74),"_",VLOOKUP(T74,Datos!$B$2:$C$5,2,TRUE)),""))</f>
        <v>M_3_[11 +]</v>
      </c>
      <c r="AD74" s="178">
        <f t="shared" si="27"/>
        <v>10090718</v>
      </c>
      <c r="AE74" s="82" t="str">
        <f t="shared" si="28"/>
        <v>-</v>
      </c>
      <c r="AF74" s="83" t="str">
        <f t="shared" si="29"/>
        <v>070601</v>
      </c>
      <c r="AG74" s="84"/>
      <c r="AH74" s="85" t="str">
        <f t="shared" si="30"/>
        <v>Corporación de Fomento de la Producción</v>
      </c>
      <c r="AI74" s="82" t="str">
        <f t="shared" si="31"/>
        <v>-</v>
      </c>
      <c r="AJ74" s="82">
        <f t="shared" si="32"/>
        <v>9</v>
      </c>
      <c r="AK74" s="82" t="str">
        <f t="shared" si="33"/>
        <v>-</v>
      </c>
      <c r="AL74" s="82" t="str">
        <f t="shared" si="34"/>
        <v>Identifica este registro como MUJER</v>
      </c>
      <c r="AM74" s="82" t="str">
        <f t="shared" si="35"/>
        <v>-</v>
      </c>
      <c r="AN74" s="82" t="str">
        <f t="shared" si="36"/>
        <v>-</v>
      </c>
      <c r="AO74" s="82" t="str">
        <f t="shared" si="37"/>
        <v>-</v>
      </c>
      <c r="AP74" s="57" t="str">
        <f t="shared" si="38"/>
        <v>-</v>
      </c>
      <c r="AQ74" s="86" t="str">
        <f t="shared" si="39"/>
        <v>-</v>
      </c>
      <c r="AR74" s="86" t="str">
        <f>IF(N74="","PRIMER_DIA en blanco",
IF(AND(M74="01",N74&gt;=L_Conversion!$C$118,N74&lt;=L_Conversion!$D$118),"-",
IF(AND(M74="02",N74&gt;=L_Conversion!$C$119,N74&lt;=L_Conversion!$D$119),"-",
IF(AND(M74="03",N74&gt;=L_Conversion!$C$120,N74&lt;=L_Conversion!$D$120),"-",
IF(AND(M74="04",N74&gt;=L_Conversion!$C$121,N74&lt;=L_Conversion!$D$121),"-",
IF(AND(M74="05",N74&gt;=L_Conversion!$C$122,N74&lt;=L_Conversion!$D$122),"-",
IF(AND(M74="06",N74&gt;=L_Conversion!$C$123,N74&lt;=L_Conversion!$D$123),"-",
IF(AND(M74="07",N74&gt;=L_Conversion!$C$124,N74&lt;=L_Conversion!$D$124),"-",
IF(AND(M74="08",N74&gt;=L_Conversion!$C$125,N74&lt;=L_Conversion!$D$125),"-",
IF(AND(M74="09",N74&gt;=L_Conversion!$C$126,N74&lt;=L_Conversion!$D$126),"-",
IF(AND(M74="10",N74&gt;=L_Conversion!$C$127,N74&lt;=L_Conversion!$D$127),"-",
IF(AND(M74="11",N74&gt;=L_Conversion!$C$128,N74&lt;=L_Conversion!$D$128),"-",
IF(AND(M74="12",N74&gt;=L_Conversion!$C$129,N74&lt;=L_Conversion!$D$129),"-",
IF(AND(M74="13",N74&gt;=L_Conversion!$C$116,N74&lt;=L_Conversion!$D$116),"-",
IF(AND(M74="14",N74&gt;=L_Conversion!$C$117,N74&lt;=L_Conversion!$D$117),"-",
"PRIMER_DIA fuera de rango")))))))))))))))</f>
        <v>-</v>
      </c>
      <c r="AS74" s="86" t="str">
        <f t="shared" si="40"/>
        <v>-</v>
      </c>
      <c r="AT74" s="86" t="str">
        <f t="shared" si="41"/>
        <v>-</v>
      </c>
      <c r="AU74" s="86" t="str">
        <f t="shared" si="42"/>
        <v>-</v>
      </c>
      <c r="AV74" s="86" t="str">
        <f t="shared" si="43"/>
        <v>-</v>
      </c>
      <c r="AW74" s="86" t="str">
        <f t="shared" si="44"/>
        <v>-</v>
      </c>
      <c r="AX74" s="86" t="str">
        <f t="shared" si="45"/>
        <v>-</v>
      </c>
      <c r="AY74" s="86" t="str">
        <f t="shared" si="46"/>
        <v>-</v>
      </c>
      <c r="AZ74" s="86" t="str">
        <f t="shared" si="47"/>
        <v>-</v>
      </c>
      <c r="BA74" s="86" t="str">
        <f t="shared" si="48"/>
        <v>-</v>
      </c>
      <c r="BB74" s="86" t="str">
        <f t="shared" si="49"/>
        <v>-</v>
      </c>
      <c r="BC74" s="86" t="str">
        <f t="shared" si="50"/>
        <v>-</v>
      </c>
      <c r="BD74" s="86" t="str">
        <f t="shared" si="51"/>
        <v>-</v>
      </c>
      <c r="BE74" s="86" t="str">
        <f t="shared" si="52"/>
        <v>-</v>
      </c>
      <c r="BF74" s="86" t="str">
        <f t="shared" si="53"/>
        <v>-</v>
      </c>
    </row>
    <row r="75" spans="1:58" x14ac:dyDescent="0.2">
      <c r="A75" s="80" t="s">
        <v>1144</v>
      </c>
      <c r="B75" s="92" t="s">
        <v>76</v>
      </c>
      <c r="C75" s="202">
        <v>15598669</v>
      </c>
      <c r="D75" s="203">
        <v>7</v>
      </c>
      <c r="E75" s="204" t="s">
        <v>1352</v>
      </c>
      <c r="F75" s="204" t="s">
        <v>1353</v>
      </c>
      <c r="G75" s="204" t="s">
        <v>1354</v>
      </c>
      <c r="H75" s="205" t="s">
        <v>663</v>
      </c>
      <c r="I75" s="205" t="s">
        <v>663</v>
      </c>
      <c r="J75" s="203">
        <v>80</v>
      </c>
      <c r="K75" s="204" t="s">
        <v>563</v>
      </c>
      <c r="L75" s="206" t="s">
        <v>516</v>
      </c>
      <c r="M75" s="210" t="s">
        <v>18</v>
      </c>
      <c r="N75" s="211">
        <v>45677</v>
      </c>
      <c r="O75" s="207">
        <v>14</v>
      </c>
      <c r="P75" s="203">
        <v>1</v>
      </c>
      <c r="Q75" s="205" t="s">
        <v>23</v>
      </c>
      <c r="R75" s="205" t="s">
        <v>11</v>
      </c>
      <c r="S75" s="205" t="s">
        <v>23</v>
      </c>
      <c r="T75" s="207">
        <v>14</v>
      </c>
      <c r="U75" s="208" t="s">
        <v>11</v>
      </c>
      <c r="V75" s="212" t="s">
        <v>11</v>
      </c>
      <c r="W75" s="212" t="s">
        <v>19</v>
      </c>
      <c r="X75" s="209">
        <v>1460930</v>
      </c>
      <c r="Y75" s="213" t="s">
        <v>735</v>
      </c>
      <c r="Z75" s="209">
        <v>14</v>
      </c>
      <c r="AA75" s="209">
        <v>1460930</v>
      </c>
      <c r="AB75" s="209">
        <v>1460930</v>
      </c>
      <c r="AC75" s="178" t="str">
        <f>IF(OR(M75="13",M75="14",P75=8),"",IF(AND(OR(S75="AUTORIZADO", S75="PENDIENTE", S75="REDUCIDO", S75="AMPLIADO"),L75&lt;&gt;"HONORARIO" ), CONCATENATE(IF(H75="X","H",H75),"_",IF(OR(P75=5,P75=6),_xlfn.CONCAT(P75,"A"),P75),"_",VLOOKUP(T75,Datos!$B$2:$C$5,2,TRUE)),""))</f>
        <v>H_1_[11 +]</v>
      </c>
      <c r="AD75" s="178">
        <f t="shared" si="27"/>
        <v>2921860</v>
      </c>
      <c r="AE75" s="82" t="str">
        <f t="shared" si="28"/>
        <v>-</v>
      </c>
      <c r="AF75" s="83" t="str">
        <f t="shared" si="29"/>
        <v>070601</v>
      </c>
      <c r="AG75" s="84"/>
      <c r="AH75" s="85" t="str">
        <f t="shared" si="30"/>
        <v>Corporación de Fomento de la Producción</v>
      </c>
      <c r="AI75" s="82" t="str">
        <f t="shared" si="31"/>
        <v>-</v>
      </c>
      <c r="AJ75" s="82">
        <f t="shared" si="32"/>
        <v>7</v>
      </c>
      <c r="AK75" s="82" t="str">
        <f t="shared" si="33"/>
        <v>-</v>
      </c>
      <c r="AL75" s="82" t="str">
        <f t="shared" si="34"/>
        <v>Identifica este registro como HOMBRE</v>
      </c>
      <c r="AM75" s="82" t="str">
        <f t="shared" si="35"/>
        <v>-</v>
      </c>
      <c r="AN75" s="82" t="str">
        <f t="shared" si="36"/>
        <v>-</v>
      </c>
      <c r="AO75" s="82" t="str">
        <f t="shared" si="37"/>
        <v>-</v>
      </c>
      <c r="AP75" s="57" t="str">
        <f t="shared" si="38"/>
        <v>-</v>
      </c>
      <c r="AQ75" s="86" t="str">
        <f t="shared" si="39"/>
        <v>-</v>
      </c>
      <c r="AR75" s="86" t="str">
        <f>IF(N75="","PRIMER_DIA en blanco",
IF(AND(M75="01",N75&gt;=L_Conversion!$C$118,N75&lt;=L_Conversion!$D$118),"-",
IF(AND(M75="02",N75&gt;=L_Conversion!$C$119,N75&lt;=L_Conversion!$D$119),"-",
IF(AND(M75="03",N75&gt;=L_Conversion!$C$120,N75&lt;=L_Conversion!$D$120),"-",
IF(AND(M75="04",N75&gt;=L_Conversion!$C$121,N75&lt;=L_Conversion!$D$121),"-",
IF(AND(M75="05",N75&gt;=L_Conversion!$C$122,N75&lt;=L_Conversion!$D$122),"-",
IF(AND(M75="06",N75&gt;=L_Conversion!$C$123,N75&lt;=L_Conversion!$D$123),"-",
IF(AND(M75="07",N75&gt;=L_Conversion!$C$124,N75&lt;=L_Conversion!$D$124),"-",
IF(AND(M75="08",N75&gt;=L_Conversion!$C$125,N75&lt;=L_Conversion!$D$125),"-",
IF(AND(M75="09",N75&gt;=L_Conversion!$C$126,N75&lt;=L_Conversion!$D$126),"-",
IF(AND(M75="10",N75&gt;=L_Conversion!$C$127,N75&lt;=L_Conversion!$D$127),"-",
IF(AND(M75="11",N75&gt;=L_Conversion!$C$128,N75&lt;=L_Conversion!$D$128),"-",
IF(AND(M75="12",N75&gt;=L_Conversion!$C$129,N75&lt;=L_Conversion!$D$129),"-",
IF(AND(M75="13",N75&gt;=L_Conversion!$C$116,N75&lt;=L_Conversion!$D$116),"-",
IF(AND(M75="14",N75&gt;=L_Conversion!$C$117,N75&lt;=L_Conversion!$D$117),"-",
"PRIMER_DIA fuera de rango")))))))))))))))</f>
        <v>-</v>
      </c>
      <c r="AS75" s="86" t="str">
        <f t="shared" si="40"/>
        <v>-</v>
      </c>
      <c r="AT75" s="86" t="str">
        <f t="shared" si="41"/>
        <v>-</v>
      </c>
      <c r="AU75" s="86" t="str">
        <f t="shared" si="42"/>
        <v>-</v>
      </c>
      <c r="AV75" s="86" t="str">
        <f t="shared" si="43"/>
        <v>-</v>
      </c>
      <c r="AW75" s="86" t="str">
        <f t="shared" si="44"/>
        <v>-</v>
      </c>
      <c r="AX75" s="86" t="str">
        <f t="shared" si="45"/>
        <v>-</v>
      </c>
      <c r="AY75" s="86" t="str">
        <f t="shared" si="46"/>
        <v>-</v>
      </c>
      <c r="AZ75" s="86" t="str">
        <f t="shared" si="47"/>
        <v>-</v>
      </c>
      <c r="BA75" s="86" t="str">
        <f t="shared" si="48"/>
        <v>-</v>
      </c>
      <c r="BB75" s="86" t="str">
        <f t="shared" si="49"/>
        <v>-</v>
      </c>
      <c r="BC75" s="86" t="str">
        <f t="shared" si="50"/>
        <v>-</v>
      </c>
      <c r="BD75" s="86" t="str">
        <f t="shared" si="51"/>
        <v>-</v>
      </c>
      <c r="BE75" s="86" t="str">
        <f t="shared" si="52"/>
        <v>-</v>
      </c>
      <c r="BF75" s="86" t="str">
        <f t="shared" si="53"/>
        <v>-</v>
      </c>
    </row>
    <row r="76" spans="1:58" x14ac:dyDescent="0.2">
      <c r="A76" s="80" t="s">
        <v>1144</v>
      </c>
      <c r="B76" s="92" t="s">
        <v>76</v>
      </c>
      <c r="C76" s="202">
        <v>10122155</v>
      </c>
      <c r="D76" s="203">
        <v>5</v>
      </c>
      <c r="E76" s="204" t="s">
        <v>1237</v>
      </c>
      <c r="F76" s="204" t="s">
        <v>1156</v>
      </c>
      <c r="G76" s="204" t="s">
        <v>1238</v>
      </c>
      <c r="H76" s="205" t="s">
        <v>1033</v>
      </c>
      <c r="I76" s="205" t="s">
        <v>662</v>
      </c>
      <c r="J76" s="203">
        <v>80</v>
      </c>
      <c r="K76" s="204" t="s">
        <v>563</v>
      </c>
      <c r="L76" s="206" t="s">
        <v>502</v>
      </c>
      <c r="M76" s="210" t="s">
        <v>18</v>
      </c>
      <c r="N76" s="211">
        <v>45677</v>
      </c>
      <c r="O76" s="207">
        <v>5</v>
      </c>
      <c r="P76" s="203">
        <v>1</v>
      </c>
      <c r="Q76" s="205" t="s">
        <v>23</v>
      </c>
      <c r="R76" s="205" t="s">
        <v>11</v>
      </c>
      <c r="S76" s="205" t="s">
        <v>23</v>
      </c>
      <c r="T76" s="207">
        <v>5</v>
      </c>
      <c r="U76" s="208" t="s">
        <v>11</v>
      </c>
      <c r="V76" s="212" t="s">
        <v>11</v>
      </c>
      <c r="W76" s="212" t="s">
        <v>19</v>
      </c>
      <c r="X76" s="209">
        <v>147531</v>
      </c>
      <c r="Y76" s="213" t="s">
        <v>735</v>
      </c>
      <c r="Z76" s="209">
        <v>5</v>
      </c>
      <c r="AA76" s="209">
        <v>147531</v>
      </c>
      <c r="AB76" s="209">
        <v>147531</v>
      </c>
      <c r="AC76" s="178" t="str">
        <f>IF(OR(M76="13",M76="14",P76=8),"",IF(AND(OR(S76="AUTORIZADO", S76="PENDIENTE", S76="REDUCIDO", S76="AMPLIADO"),L76&lt;&gt;"HONORARIO" ), CONCATENATE(IF(H76="X","H",H76),"_",IF(OR(P76=5,P76=6),_xlfn.CONCAT(P76,"A"),P76),"_",VLOOKUP(T76,Datos!$B$2:$C$5,2,TRUE)),""))</f>
        <v>M_1_[4 a 10]</v>
      </c>
      <c r="AD76" s="178">
        <f t="shared" si="27"/>
        <v>295062</v>
      </c>
      <c r="AE76" s="82" t="str">
        <f t="shared" si="28"/>
        <v>-</v>
      </c>
      <c r="AF76" s="83" t="str">
        <f t="shared" si="29"/>
        <v>070601</v>
      </c>
      <c r="AG76" s="84"/>
      <c r="AH76" s="85" t="str">
        <f t="shared" si="30"/>
        <v>Corporación de Fomento de la Producción</v>
      </c>
      <c r="AI76" s="82" t="str">
        <f t="shared" si="31"/>
        <v>-</v>
      </c>
      <c r="AJ76" s="82">
        <f t="shared" si="32"/>
        <v>5</v>
      </c>
      <c r="AK76" s="82" t="str">
        <f t="shared" si="33"/>
        <v>-</v>
      </c>
      <c r="AL76" s="82" t="str">
        <f t="shared" si="34"/>
        <v>Identifica este registro como MUJER</v>
      </c>
      <c r="AM76" s="82" t="str">
        <f t="shared" si="35"/>
        <v>-</v>
      </c>
      <c r="AN76" s="82" t="str">
        <f t="shared" si="36"/>
        <v>-</v>
      </c>
      <c r="AO76" s="82" t="str">
        <f t="shared" si="37"/>
        <v>-</v>
      </c>
      <c r="AP76" s="57" t="str">
        <f t="shared" si="38"/>
        <v>-</v>
      </c>
      <c r="AQ76" s="86" t="str">
        <f t="shared" si="39"/>
        <v>-</v>
      </c>
      <c r="AR76" s="86" t="str">
        <f>IF(N76="","PRIMER_DIA en blanco",
IF(AND(M76="01",N76&gt;=L_Conversion!$C$118,N76&lt;=L_Conversion!$D$118),"-",
IF(AND(M76="02",N76&gt;=L_Conversion!$C$119,N76&lt;=L_Conversion!$D$119),"-",
IF(AND(M76="03",N76&gt;=L_Conversion!$C$120,N76&lt;=L_Conversion!$D$120),"-",
IF(AND(M76="04",N76&gt;=L_Conversion!$C$121,N76&lt;=L_Conversion!$D$121),"-",
IF(AND(M76="05",N76&gt;=L_Conversion!$C$122,N76&lt;=L_Conversion!$D$122),"-",
IF(AND(M76="06",N76&gt;=L_Conversion!$C$123,N76&lt;=L_Conversion!$D$123),"-",
IF(AND(M76="07",N76&gt;=L_Conversion!$C$124,N76&lt;=L_Conversion!$D$124),"-",
IF(AND(M76="08",N76&gt;=L_Conversion!$C$125,N76&lt;=L_Conversion!$D$125),"-",
IF(AND(M76="09",N76&gt;=L_Conversion!$C$126,N76&lt;=L_Conversion!$D$126),"-",
IF(AND(M76="10",N76&gt;=L_Conversion!$C$127,N76&lt;=L_Conversion!$D$127),"-",
IF(AND(M76="11",N76&gt;=L_Conversion!$C$128,N76&lt;=L_Conversion!$D$128),"-",
IF(AND(M76="12",N76&gt;=L_Conversion!$C$129,N76&lt;=L_Conversion!$D$129),"-",
IF(AND(M76="13",N76&gt;=L_Conversion!$C$116,N76&lt;=L_Conversion!$D$116),"-",
IF(AND(M76="14",N76&gt;=L_Conversion!$C$117,N76&lt;=L_Conversion!$D$117),"-",
"PRIMER_DIA fuera de rango")))))))))))))))</f>
        <v>-</v>
      </c>
      <c r="AS76" s="86" t="str">
        <f t="shared" si="40"/>
        <v>-</v>
      </c>
      <c r="AT76" s="86" t="str">
        <f t="shared" si="41"/>
        <v>-</v>
      </c>
      <c r="AU76" s="86" t="str">
        <f t="shared" si="42"/>
        <v>-</v>
      </c>
      <c r="AV76" s="86" t="str">
        <f t="shared" si="43"/>
        <v>-</v>
      </c>
      <c r="AW76" s="86" t="str">
        <f t="shared" si="44"/>
        <v>-</v>
      </c>
      <c r="AX76" s="86" t="str">
        <f t="shared" si="45"/>
        <v>-</v>
      </c>
      <c r="AY76" s="86" t="str">
        <f t="shared" si="46"/>
        <v>-</v>
      </c>
      <c r="AZ76" s="86" t="str">
        <f t="shared" si="47"/>
        <v>-</v>
      </c>
      <c r="BA76" s="86" t="str">
        <f t="shared" si="48"/>
        <v>-</v>
      </c>
      <c r="BB76" s="86" t="str">
        <f t="shared" si="49"/>
        <v>-</v>
      </c>
      <c r="BC76" s="86" t="str">
        <f t="shared" si="50"/>
        <v>-</v>
      </c>
      <c r="BD76" s="86" t="str">
        <f t="shared" si="51"/>
        <v>-</v>
      </c>
      <c r="BE76" s="86" t="str">
        <f t="shared" si="52"/>
        <v>-</v>
      </c>
      <c r="BF76" s="86" t="str">
        <f t="shared" si="53"/>
        <v>-</v>
      </c>
    </row>
    <row r="77" spans="1:58" x14ac:dyDescent="0.2">
      <c r="A77" s="80" t="s">
        <v>1144</v>
      </c>
      <c r="B77" s="92" t="s">
        <v>76</v>
      </c>
      <c r="C77" s="202">
        <v>15603921</v>
      </c>
      <c r="D77" s="203">
        <v>7</v>
      </c>
      <c r="E77" s="204" t="s">
        <v>1170</v>
      </c>
      <c r="F77" s="204" t="s">
        <v>1355</v>
      </c>
      <c r="G77" s="204" t="s">
        <v>1356</v>
      </c>
      <c r="H77" s="205" t="s">
        <v>1033</v>
      </c>
      <c r="I77" s="205" t="s">
        <v>662</v>
      </c>
      <c r="J77" s="203">
        <v>80</v>
      </c>
      <c r="K77" s="204" t="s">
        <v>563</v>
      </c>
      <c r="L77" s="206" t="s">
        <v>502</v>
      </c>
      <c r="M77" s="210" t="s">
        <v>18</v>
      </c>
      <c r="N77" s="211">
        <v>45677</v>
      </c>
      <c r="O77" s="207">
        <v>30</v>
      </c>
      <c r="P77" s="203">
        <v>1</v>
      </c>
      <c r="Q77" s="205" t="s">
        <v>23</v>
      </c>
      <c r="R77" s="205" t="s">
        <v>11</v>
      </c>
      <c r="S77" s="205" t="s">
        <v>23</v>
      </c>
      <c r="T77" s="207">
        <v>30</v>
      </c>
      <c r="U77" s="208" t="s">
        <v>11</v>
      </c>
      <c r="V77" s="212" t="s">
        <v>11</v>
      </c>
      <c r="W77" s="212" t="s">
        <v>19</v>
      </c>
      <c r="X77" s="209">
        <v>2705634</v>
      </c>
      <c r="Y77" s="213" t="s">
        <v>735</v>
      </c>
      <c r="Z77" s="209">
        <v>30</v>
      </c>
      <c r="AA77" s="209">
        <v>2705634</v>
      </c>
      <c r="AB77" s="209">
        <v>2705634</v>
      </c>
      <c r="AC77" s="178" t="str">
        <f>IF(OR(M77="13",M77="14",P77=8),"",IF(AND(OR(S77="AUTORIZADO", S77="PENDIENTE", S77="REDUCIDO", S77="AMPLIADO"),L77&lt;&gt;"HONORARIO" ), CONCATENATE(IF(H77="X","H",H77),"_",IF(OR(P77=5,P77=6),_xlfn.CONCAT(P77,"A"),P77),"_",VLOOKUP(T77,Datos!$B$2:$C$5,2,TRUE)),""))</f>
        <v>M_1_[11 +]</v>
      </c>
      <c r="AD77" s="178">
        <f t="shared" si="27"/>
        <v>5411268</v>
      </c>
      <c r="AE77" s="82" t="str">
        <f t="shared" si="28"/>
        <v>-</v>
      </c>
      <c r="AF77" s="83" t="str">
        <f t="shared" si="29"/>
        <v>070601</v>
      </c>
      <c r="AG77" s="84"/>
      <c r="AH77" s="85" t="str">
        <f t="shared" si="30"/>
        <v>Corporación de Fomento de la Producción</v>
      </c>
      <c r="AI77" s="82" t="str">
        <f t="shared" si="31"/>
        <v>-</v>
      </c>
      <c r="AJ77" s="82">
        <f t="shared" si="32"/>
        <v>7</v>
      </c>
      <c r="AK77" s="82" t="str">
        <f t="shared" si="33"/>
        <v>-</v>
      </c>
      <c r="AL77" s="82" t="str">
        <f t="shared" si="34"/>
        <v>Identifica este registro como MUJER</v>
      </c>
      <c r="AM77" s="82" t="str">
        <f t="shared" si="35"/>
        <v>-</v>
      </c>
      <c r="AN77" s="82" t="str">
        <f t="shared" si="36"/>
        <v>-</v>
      </c>
      <c r="AO77" s="82" t="str">
        <f t="shared" si="37"/>
        <v>-</v>
      </c>
      <c r="AP77" s="57" t="str">
        <f t="shared" si="38"/>
        <v>-</v>
      </c>
      <c r="AQ77" s="86" t="str">
        <f t="shared" si="39"/>
        <v>-</v>
      </c>
      <c r="AR77" s="86" t="str">
        <f>IF(N77="","PRIMER_DIA en blanco",
IF(AND(M77="01",N77&gt;=L_Conversion!$C$118,N77&lt;=L_Conversion!$D$118),"-",
IF(AND(M77="02",N77&gt;=L_Conversion!$C$119,N77&lt;=L_Conversion!$D$119),"-",
IF(AND(M77="03",N77&gt;=L_Conversion!$C$120,N77&lt;=L_Conversion!$D$120),"-",
IF(AND(M77="04",N77&gt;=L_Conversion!$C$121,N77&lt;=L_Conversion!$D$121),"-",
IF(AND(M77="05",N77&gt;=L_Conversion!$C$122,N77&lt;=L_Conversion!$D$122),"-",
IF(AND(M77="06",N77&gt;=L_Conversion!$C$123,N77&lt;=L_Conversion!$D$123),"-",
IF(AND(M77="07",N77&gt;=L_Conversion!$C$124,N77&lt;=L_Conversion!$D$124),"-",
IF(AND(M77="08",N77&gt;=L_Conversion!$C$125,N77&lt;=L_Conversion!$D$125),"-",
IF(AND(M77="09",N77&gt;=L_Conversion!$C$126,N77&lt;=L_Conversion!$D$126),"-",
IF(AND(M77="10",N77&gt;=L_Conversion!$C$127,N77&lt;=L_Conversion!$D$127),"-",
IF(AND(M77="11",N77&gt;=L_Conversion!$C$128,N77&lt;=L_Conversion!$D$128),"-",
IF(AND(M77="12",N77&gt;=L_Conversion!$C$129,N77&lt;=L_Conversion!$D$129),"-",
IF(AND(M77="13",N77&gt;=L_Conversion!$C$116,N77&lt;=L_Conversion!$D$116),"-",
IF(AND(M77="14",N77&gt;=L_Conversion!$C$117,N77&lt;=L_Conversion!$D$117),"-",
"PRIMER_DIA fuera de rango")))))))))))))))</f>
        <v>-</v>
      </c>
      <c r="AS77" s="86" t="str">
        <f t="shared" si="40"/>
        <v>-</v>
      </c>
      <c r="AT77" s="86" t="str">
        <f t="shared" si="41"/>
        <v>-</v>
      </c>
      <c r="AU77" s="86" t="str">
        <f t="shared" si="42"/>
        <v>-</v>
      </c>
      <c r="AV77" s="86" t="str">
        <f t="shared" si="43"/>
        <v>-</v>
      </c>
      <c r="AW77" s="86" t="str">
        <f t="shared" si="44"/>
        <v>-</v>
      </c>
      <c r="AX77" s="86" t="str">
        <f t="shared" si="45"/>
        <v>-</v>
      </c>
      <c r="AY77" s="86" t="str">
        <f t="shared" si="46"/>
        <v>-</v>
      </c>
      <c r="AZ77" s="86" t="str">
        <f t="shared" si="47"/>
        <v>-</v>
      </c>
      <c r="BA77" s="86" t="str">
        <f t="shared" si="48"/>
        <v>-</v>
      </c>
      <c r="BB77" s="86" t="str">
        <f t="shared" si="49"/>
        <v>-</v>
      </c>
      <c r="BC77" s="86" t="str">
        <f t="shared" si="50"/>
        <v>-</v>
      </c>
      <c r="BD77" s="86" t="str">
        <f t="shared" si="51"/>
        <v>-</v>
      </c>
      <c r="BE77" s="86" t="str">
        <f t="shared" si="52"/>
        <v>-</v>
      </c>
      <c r="BF77" s="86" t="str">
        <f t="shared" si="53"/>
        <v>-</v>
      </c>
    </row>
    <row r="78" spans="1:58" x14ac:dyDescent="0.2">
      <c r="A78" s="80" t="s">
        <v>1144</v>
      </c>
      <c r="B78" s="92" t="s">
        <v>1274</v>
      </c>
      <c r="C78" s="202">
        <v>10629824</v>
      </c>
      <c r="D78" s="203">
        <v>6</v>
      </c>
      <c r="E78" s="204" t="s">
        <v>1149</v>
      </c>
      <c r="F78" s="204" t="s">
        <v>1312</v>
      </c>
      <c r="G78" s="204" t="s">
        <v>1313</v>
      </c>
      <c r="H78" s="205" t="s">
        <v>1033</v>
      </c>
      <c r="I78" s="205" t="s">
        <v>663</v>
      </c>
      <c r="J78" s="203">
        <v>80</v>
      </c>
      <c r="K78" s="204" t="s">
        <v>563</v>
      </c>
      <c r="L78" s="206" t="s">
        <v>516</v>
      </c>
      <c r="M78" s="210" t="s">
        <v>18</v>
      </c>
      <c r="N78" s="211">
        <v>45677</v>
      </c>
      <c r="O78" s="207">
        <v>15</v>
      </c>
      <c r="P78" s="203">
        <v>1</v>
      </c>
      <c r="Q78" s="205" t="s">
        <v>23</v>
      </c>
      <c r="R78" s="205" t="s">
        <v>11</v>
      </c>
      <c r="S78" s="205" t="s">
        <v>23</v>
      </c>
      <c r="T78" s="207">
        <v>15</v>
      </c>
      <c r="U78" s="208" t="s">
        <v>11</v>
      </c>
      <c r="V78" s="212" t="s">
        <v>11</v>
      </c>
      <c r="W78" s="212" t="s">
        <v>19</v>
      </c>
      <c r="X78" s="209">
        <v>1566242</v>
      </c>
      <c r="Y78" s="213" t="s">
        <v>735</v>
      </c>
      <c r="Z78" s="209">
        <v>15</v>
      </c>
      <c r="AA78" s="209">
        <v>1566242</v>
      </c>
      <c r="AB78" s="209">
        <v>1566242</v>
      </c>
      <c r="AC78" s="178" t="str">
        <f>IF(OR(M78="13",M78="14",P78=8),"",IF(AND(OR(S78="AUTORIZADO", S78="PENDIENTE", S78="REDUCIDO", S78="AMPLIADO"),L78&lt;&gt;"HONORARIO" ), CONCATENATE(IF(H78="X","H",H78),"_",IF(OR(P78=5,P78=6),_xlfn.CONCAT(P78,"A"),P78),"_",VLOOKUP(T78,Datos!$B$2:$C$5,2,TRUE)),""))</f>
        <v>M_1_[11 +]</v>
      </c>
      <c r="AD78" s="178">
        <f t="shared" si="27"/>
        <v>3132484</v>
      </c>
      <c r="AE78" s="82" t="str">
        <f t="shared" si="28"/>
        <v>-</v>
      </c>
      <c r="AF78" s="83" t="str">
        <f t="shared" si="29"/>
        <v>Revisar</v>
      </c>
      <c r="AG78" s="84"/>
      <c r="AH78" s="85" t="str">
        <f t="shared" si="30"/>
        <v>Corregir código servicio</v>
      </c>
      <c r="AI78" s="82" t="str">
        <f t="shared" si="31"/>
        <v>-</v>
      </c>
      <c r="AJ78" s="82">
        <f t="shared" si="32"/>
        <v>6</v>
      </c>
      <c r="AK78" s="82" t="str">
        <f t="shared" si="33"/>
        <v>-</v>
      </c>
      <c r="AL78" s="82" t="str">
        <f t="shared" si="34"/>
        <v>Identifica este registro como MUJER</v>
      </c>
      <c r="AM78" s="82" t="str">
        <f t="shared" si="35"/>
        <v>-</v>
      </c>
      <c r="AN78" s="82" t="str">
        <f t="shared" si="36"/>
        <v>-</v>
      </c>
      <c r="AO78" s="82" t="str">
        <f t="shared" si="37"/>
        <v>-</v>
      </c>
      <c r="AP78" s="57" t="str">
        <f t="shared" si="38"/>
        <v>-</v>
      </c>
      <c r="AQ78" s="86" t="str">
        <f t="shared" si="39"/>
        <v>-</v>
      </c>
      <c r="AR78" s="86" t="str">
        <f>IF(N78="","PRIMER_DIA en blanco",
IF(AND(M78="01",N78&gt;=L_Conversion!$C$118,N78&lt;=L_Conversion!$D$118),"-",
IF(AND(M78="02",N78&gt;=L_Conversion!$C$119,N78&lt;=L_Conversion!$D$119),"-",
IF(AND(M78="03",N78&gt;=L_Conversion!$C$120,N78&lt;=L_Conversion!$D$120),"-",
IF(AND(M78="04",N78&gt;=L_Conversion!$C$121,N78&lt;=L_Conversion!$D$121),"-",
IF(AND(M78="05",N78&gt;=L_Conversion!$C$122,N78&lt;=L_Conversion!$D$122),"-",
IF(AND(M78="06",N78&gt;=L_Conversion!$C$123,N78&lt;=L_Conversion!$D$123),"-",
IF(AND(M78="07",N78&gt;=L_Conversion!$C$124,N78&lt;=L_Conversion!$D$124),"-",
IF(AND(M78="08",N78&gt;=L_Conversion!$C$125,N78&lt;=L_Conversion!$D$125),"-",
IF(AND(M78="09",N78&gt;=L_Conversion!$C$126,N78&lt;=L_Conversion!$D$126),"-",
IF(AND(M78="10",N78&gt;=L_Conversion!$C$127,N78&lt;=L_Conversion!$D$127),"-",
IF(AND(M78="11",N78&gt;=L_Conversion!$C$128,N78&lt;=L_Conversion!$D$128),"-",
IF(AND(M78="12",N78&gt;=L_Conversion!$C$129,N78&lt;=L_Conversion!$D$129),"-",
IF(AND(M78="13",N78&gt;=L_Conversion!$C$116,N78&lt;=L_Conversion!$D$116),"-",
IF(AND(M78="14",N78&gt;=L_Conversion!$C$117,N78&lt;=L_Conversion!$D$117),"-",
"PRIMER_DIA fuera de rango")))))))))))))))</f>
        <v>-</v>
      </c>
      <c r="AS78" s="86" t="str">
        <f t="shared" si="40"/>
        <v>-</v>
      </c>
      <c r="AT78" s="86" t="str">
        <f t="shared" si="41"/>
        <v>-</v>
      </c>
      <c r="AU78" s="86" t="str">
        <f t="shared" si="42"/>
        <v>-</v>
      </c>
      <c r="AV78" s="86" t="str">
        <f t="shared" si="43"/>
        <v>-</v>
      </c>
      <c r="AW78" s="86" t="str">
        <f t="shared" si="44"/>
        <v>-</v>
      </c>
      <c r="AX78" s="86" t="str">
        <f t="shared" si="45"/>
        <v>-</v>
      </c>
      <c r="AY78" s="86" t="str">
        <f t="shared" si="46"/>
        <v>-</v>
      </c>
      <c r="AZ78" s="86" t="str">
        <f t="shared" si="47"/>
        <v>-</v>
      </c>
      <c r="BA78" s="86" t="str">
        <f t="shared" si="48"/>
        <v>-</v>
      </c>
      <c r="BB78" s="86" t="str">
        <f t="shared" si="49"/>
        <v>-</v>
      </c>
      <c r="BC78" s="86" t="str">
        <f t="shared" si="50"/>
        <v>-</v>
      </c>
      <c r="BD78" s="86" t="str">
        <f t="shared" si="51"/>
        <v>-</v>
      </c>
      <c r="BE78" s="86" t="str">
        <f t="shared" si="52"/>
        <v>-</v>
      </c>
      <c r="BF78" s="86" t="str">
        <f t="shared" si="53"/>
        <v>-</v>
      </c>
    </row>
    <row r="79" spans="1:58" x14ac:dyDescent="0.2">
      <c r="A79" s="80" t="s">
        <v>1144</v>
      </c>
      <c r="B79" s="92" t="s">
        <v>676</v>
      </c>
      <c r="C79" s="202">
        <v>19077662</v>
      </c>
      <c r="D79" s="203" t="s">
        <v>1151</v>
      </c>
      <c r="E79" s="204" t="s">
        <v>1326</v>
      </c>
      <c r="F79" s="204" t="s">
        <v>1327</v>
      </c>
      <c r="G79" s="204" t="s">
        <v>1328</v>
      </c>
      <c r="H79" s="205" t="s">
        <v>1033</v>
      </c>
      <c r="I79" s="205" t="s">
        <v>663</v>
      </c>
      <c r="J79" s="203">
        <v>80</v>
      </c>
      <c r="K79" s="204" t="s">
        <v>563</v>
      </c>
      <c r="L79" s="206" t="s">
        <v>516</v>
      </c>
      <c r="M79" s="210" t="s">
        <v>18</v>
      </c>
      <c r="N79" s="211">
        <v>45677</v>
      </c>
      <c r="O79" s="207">
        <v>3</v>
      </c>
      <c r="P79" s="203">
        <v>1</v>
      </c>
      <c r="Q79" s="205" t="s">
        <v>23</v>
      </c>
      <c r="R79" s="205" t="s">
        <v>11</v>
      </c>
      <c r="S79" s="205" t="s">
        <v>23</v>
      </c>
      <c r="T79" s="207">
        <v>3</v>
      </c>
      <c r="U79" s="208" t="s">
        <v>11</v>
      </c>
      <c r="V79" s="212" t="s">
        <v>19</v>
      </c>
      <c r="W79" s="212" t="s">
        <v>19</v>
      </c>
      <c r="X79" s="209">
        <v>61380</v>
      </c>
      <c r="Y79" s="213" t="s">
        <v>735</v>
      </c>
      <c r="Z79" s="209">
        <v>3</v>
      </c>
      <c r="AA79" s="209">
        <v>61380</v>
      </c>
      <c r="AB79" s="209">
        <v>61380</v>
      </c>
      <c r="AC79" s="178" t="str">
        <f>IF(OR(M79="13",M79="14",P79=8),"",IF(AND(OR(S79="AUTORIZADO", S79="PENDIENTE", S79="REDUCIDO", S79="AMPLIADO"),L79&lt;&gt;"HONORARIO" ), CONCATENATE(IF(H79="X","H",H79),"_",IF(OR(P79=5,P79=6),_xlfn.CONCAT(P79,"A"),P79),"_",VLOOKUP(T79,Datos!$B$2:$C$5,2,TRUE)),""))</f>
        <v>M_1_[hasta 3]</v>
      </c>
      <c r="AD79" s="178">
        <f t="shared" si="27"/>
        <v>122760</v>
      </c>
      <c r="AE79" s="82" t="str">
        <f t="shared" si="28"/>
        <v>-</v>
      </c>
      <c r="AF79" s="83" t="str">
        <f t="shared" si="29"/>
        <v>Revisar</v>
      </c>
      <c r="AG79" s="84"/>
      <c r="AH79" s="85" t="str">
        <f t="shared" si="30"/>
        <v>Corporación de Fomento de la Producción</v>
      </c>
      <c r="AI79" s="82" t="str">
        <f t="shared" si="31"/>
        <v>-</v>
      </c>
      <c r="AJ79" s="82" t="str">
        <f t="shared" si="32"/>
        <v>K</v>
      </c>
      <c r="AK79" s="82" t="str">
        <f t="shared" si="33"/>
        <v>-</v>
      </c>
      <c r="AL79" s="82" t="str">
        <f t="shared" si="34"/>
        <v>Identifica este registro como MUJER</v>
      </c>
      <c r="AM79" s="82" t="str">
        <f t="shared" si="35"/>
        <v>-</v>
      </c>
      <c r="AN79" s="82" t="str">
        <f t="shared" si="36"/>
        <v>-</v>
      </c>
      <c r="AO79" s="82" t="str">
        <f t="shared" si="37"/>
        <v>-</v>
      </c>
      <c r="AP79" s="57" t="str">
        <f t="shared" si="38"/>
        <v>-</v>
      </c>
      <c r="AQ79" s="86" t="str">
        <f t="shared" si="39"/>
        <v>-</v>
      </c>
      <c r="AR79" s="86" t="str">
        <f>IF(N79="","PRIMER_DIA en blanco",
IF(AND(M79="01",N79&gt;=L_Conversion!$C$118,N79&lt;=L_Conversion!$D$118),"-",
IF(AND(M79="02",N79&gt;=L_Conversion!$C$119,N79&lt;=L_Conversion!$D$119),"-",
IF(AND(M79="03",N79&gt;=L_Conversion!$C$120,N79&lt;=L_Conversion!$D$120),"-",
IF(AND(M79="04",N79&gt;=L_Conversion!$C$121,N79&lt;=L_Conversion!$D$121),"-",
IF(AND(M79="05",N79&gt;=L_Conversion!$C$122,N79&lt;=L_Conversion!$D$122),"-",
IF(AND(M79="06",N79&gt;=L_Conversion!$C$123,N79&lt;=L_Conversion!$D$123),"-",
IF(AND(M79="07",N79&gt;=L_Conversion!$C$124,N79&lt;=L_Conversion!$D$124),"-",
IF(AND(M79="08",N79&gt;=L_Conversion!$C$125,N79&lt;=L_Conversion!$D$125),"-",
IF(AND(M79="09",N79&gt;=L_Conversion!$C$126,N79&lt;=L_Conversion!$D$126),"-",
IF(AND(M79="10",N79&gt;=L_Conversion!$C$127,N79&lt;=L_Conversion!$D$127),"-",
IF(AND(M79="11",N79&gt;=L_Conversion!$C$128,N79&lt;=L_Conversion!$D$128),"-",
IF(AND(M79="12",N79&gt;=L_Conversion!$C$129,N79&lt;=L_Conversion!$D$129),"-",
IF(AND(M79="13",N79&gt;=L_Conversion!$C$116,N79&lt;=L_Conversion!$D$116),"-",
IF(AND(M79="14",N79&gt;=L_Conversion!$C$117,N79&lt;=L_Conversion!$D$117),"-",
"PRIMER_DIA fuera de rango")))))))))))))))</f>
        <v>-</v>
      </c>
      <c r="AS79" s="86" t="str">
        <f t="shared" si="40"/>
        <v>-</v>
      </c>
      <c r="AT79" s="86" t="str">
        <f t="shared" si="41"/>
        <v>-</v>
      </c>
      <c r="AU79" s="86" t="str">
        <f t="shared" si="42"/>
        <v>-</v>
      </c>
      <c r="AV79" s="86" t="str">
        <f t="shared" si="43"/>
        <v>-</v>
      </c>
      <c r="AW79" s="86" t="str">
        <f t="shared" si="44"/>
        <v>-</v>
      </c>
      <c r="AX79" s="86" t="str">
        <f t="shared" si="45"/>
        <v>-</v>
      </c>
      <c r="AY79" s="86" t="str">
        <f t="shared" si="46"/>
        <v>-</v>
      </c>
      <c r="AZ79" s="86" t="str">
        <f t="shared" si="47"/>
        <v>-</v>
      </c>
      <c r="BA79" s="86" t="str">
        <f t="shared" si="48"/>
        <v>-</v>
      </c>
      <c r="BB79" s="86" t="str">
        <f t="shared" si="49"/>
        <v>-</v>
      </c>
      <c r="BC79" s="86" t="str">
        <f t="shared" si="50"/>
        <v>-</v>
      </c>
      <c r="BD79" s="86" t="str">
        <f t="shared" si="51"/>
        <v>-</v>
      </c>
      <c r="BE79" s="86" t="str">
        <f t="shared" si="52"/>
        <v>-</v>
      </c>
      <c r="BF79" s="86" t="str">
        <f t="shared" si="53"/>
        <v>-</v>
      </c>
    </row>
    <row r="80" spans="1:58" x14ac:dyDescent="0.2">
      <c r="A80" s="80" t="s">
        <v>1144</v>
      </c>
      <c r="B80" s="92" t="s">
        <v>76</v>
      </c>
      <c r="C80" s="202">
        <v>12293936</v>
      </c>
      <c r="D80" s="203">
        <v>7</v>
      </c>
      <c r="E80" s="204" t="s">
        <v>1357</v>
      </c>
      <c r="F80" s="204" t="s">
        <v>1217</v>
      </c>
      <c r="G80" s="204" t="s">
        <v>1358</v>
      </c>
      <c r="H80" s="205" t="s">
        <v>1033</v>
      </c>
      <c r="I80" s="205" t="s">
        <v>662</v>
      </c>
      <c r="J80" s="203">
        <v>80</v>
      </c>
      <c r="K80" s="204" t="s">
        <v>563</v>
      </c>
      <c r="L80" s="206" t="s">
        <v>502</v>
      </c>
      <c r="M80" s="210" t="s">
        <v>18</v>
      </c>
      <c r="N80" s="211">
        <v>45678</v>
      </c>
      <c r="O80" s="207">
        <v>3</v>
      </c>
      <c r="P80" s="203">
        <v>1</v>
      </c>
      <c r="Q80" s="205" t="s">
        <v>23</v>
      </c>
      <c r="R80" s="205" t="s">
        <v>11</v>
      </c>
      <c r="S80" s="205" t="s">
        <v>23</v>
      </c>
      <c r="T80" s="207">
        <v>3</v>
      </c>
      <c r="U80" s="208" t="s">
        <v>11</v>
      </c>
      <c r="V80" s="212" t="s">
        <v>19</v>
      </c>
      <c r="W80" s="212" t="s">
        <v>19</v>
      </c>
      <c r="X80" s="209">
        <v>47607</v>
      </c>
      <c r="Y80" s="213" t="s">
        <v>735</v>
      </c>
      <c r="Z80" s="209">
        <v>3</v>
      </c>
      <c r="AA80" s="209">
        <v>47607</v>
      </c>
      <c r="AB80" s="209">
        <v>47607</v>
      </c>
      <c r="AC80" s="178" t="str">
        <f>IF(OR(M80="13",M80="14",P80=8),"",IF(AND(OR(S80="AUTORIZADO", S80="PENDIENTE", S80="REDUCIDO", S80="AMPLIADO"),L80&lt;&gt;"HONORARIO" ), CONCATENATE(IF(H80="X","H",H80),"_",IF(OR(P80=5,P80=6),_xlfn.CONCAT(P80,"A"),P80),"_",VLOOKUP(T80,Datos!$B$2:$C$5,2,TRUE)),""))</f>
        <v>M_1_[hasta 3]</v>
      </c>
      <c r="AD80" s="178">
        <f t="shared" si="27"/>
        <v>95214</v>
      </c>
      <c r="AE80" s="82" t="str">
        <f t="shared" si="28"/>
        <v>-</v>
      </c>
      <c r="AF80" s="83" t="str">
        <f t="shared" si="29"/>
        <v>070601</v>
      </c>
      <c r="AG80" s="84"/>
      <c r="AH80" s="85" t="str">
        <f t="shared" si="30"/>
        <v>Corporación de Fomento de la Producción</v>
      </c>
      <c r="AI80" s="82" t="str">
        <f t="shared" si="31"/>
        <v>-</v>
      </c>
      <c r="AJ80" s="82">
        <f t="shared" si="32"/>
        <v>7</v>
      </c>
      <c r="AK80" s="82" t="str">
        <f t="shared" si="33"/>
        <v>-</v>
      </c>
      <c r="AL80" s="82" t="str">
        <f t="shared" si="34"/>
        <v>Identifica este registro como MUJER</v>
      </c>
      <c r="AM80" s="82" t="str">
        <f t="shared" si="35"/>
        <v>-</v>
      </c>
      <c r="AN80" s="82" t="str">
        <f t="shared" si="36"/>
        <v>-</v>
      </c>
      <c r="AO80" s="82" t="str">
        <f t="shared" si="37"/>
        <v>-</v>
      </c>
      <c r="AP80" s="57" t="str">
        <f t="shared" si="38"/>
        <v>-</v>
      </c>
      <c r="AQ80" s="86" t="str">
        <f t="shared" si="39"/>
        <v>-</v>
      </c>
      <c r="AR80" s="86" t="str">
        <f>IF(N80="","PRIMER_DIA en blanco",
IF(AND(M80="01",N80&gt;=L_Conversion!$C$118,N80&lt;=L_Conversion!$D$118),"-",
IF(AND(M80="02",N80&gt;=L_Conversion!$C$119,N80&lt;=L_Conversion!$D$119),"-",
IF(AND(M80="03",N80&gt;=L_Conversion!$C$120,N80&lt;=L_Conversion!$D$120),"-",
IF(AND(M80="04",N80&gt;=L_Conversion!$C$121,N80&lt;=L_Conversion!$D$121),"-",
IF(AND(M80="05",N80&gt;=L_Conversion!$C$122,N80&lt;=L_Conversion!$D$122),"-",
IF(AND(M80="06",N80&gt;=L_Conversion!$C$123,N80&lt;=L_Conversion!$D$123),"-",
IF(AND(M80="07",N80&gt;=L_Conversion!$C$124,N80&lt;=L_Conversion!$D$124),"-",
IF(AND(M80="08",N80&gt;=L_Conversion!$C$125,N80&lt;=L_Conversion!$D$125),"-",
IF(AND(M80="09",N80&gt;=L_Conversion!$C$126,N80&lt;=L_Conversion!$D$126),"-",
IF(AND(M80="10",N80&gt;=L_Conversion!$C$127,N80&lt;=L_Conversion!$D$127),"-",
IF(AND(M80="11",N80&gt;=L_Conversion!$C$128,N80&lt;=L_Conversion!$D$128),"-",
IF(AND(M80="12",N80&gt;=L_Conversion!$C$129,N80&lt;=L_Conversion!$D$129),"-",
IF(AND(M80="13",N80&gt;=L_Conversion!$C$116,N80&lt;=L_Conversion!$D$116),"-",
IF(AND(M80="14",N80&gt;=L_Conversion!$C$117,N80&lt;=L_Conversion!$D$117),"-",
"PRIMER_DIA fuera de rango")))))))))))))))</f>
        <v>-</v>
      </c>
      <c r="AS80" s="86" t="str">
        <f t="shared" si="40"/>
        <v>-</v>
      </c>
      <c r="AT80" s="86" t="str">
        <f t="shared" si="41"/>
        <v>-</v>
      </c>
      <c r="AU80" s="86" t="str">
        <f t="shared" si="42"/>
        <v>-</v>
      </c>
      <c r="AV80" s="86" t="str">
        <f t="shared" si="43"/>
        <v>-</v>
      </c>
      <c r="AW80" s="86" t="str">
        <f t="shared" si="44"/>
        <v>-</v>
      </c>
      <c r="AX80" s="86" t="str">
        <f t="shared" si="45"/>
        <v>-</v>
      </c>
      <c r="AY80" s="86" t="str">
        <f t="shared" si="46"/>
        <v>-</v>
      </c>
      <c r="AZ80" s="86" t="str">
        <f t="shared" si="47"/>
        <v>-</v>
      </c>
      <c r="BA80" s="86" t="str">
        <f t="shared" si="48"/>
        <v>-</v>
      </c>
      <c r="BB80" s="86" t="str">
        <f t="shared" si="49"/>
        <v>-</v>
      </c>
      <c r="BC80" s="86" t="str">
        <f t="shared" si="50"/>
        <v>-</v>
      </c>
      <c r="BD80" s="86" t="str">
        <f t="shared" si="51"/>
        <v>-</v>
      </c>
      <c r="BE80" s="86" t="str">
        <f t="shared" si="52"/>
        <v>-</v>
      </c>
      <c r="BF80" s="86" t="str">
        <f t="shared" si="53"/>
        <v>-</v>
      </c>
    </row>
    <row r="81" spans="1:58" x14ac:dyDescent="0.2">
      <c r="A81" s="80" t="s">
        <v>1144</v>
      </c>
      <c r="B81" s="92" t="s">
        <v>76</v>
      </c>
      <c r="C81" s="202">
        <v>16976511</v>
      </c>
      <c r="D81" s="203">
        <v>1</v>
      </c>
      <c r="E81" s="204" t="s">
        <v>1319</v>
      </c>
      <c r="F81" s="204" t="s">
        <v>1153</v>
      </c>
      <c r="G81" s="204" t="s">
        <v>1320</v>
      </c>
      <c r="H81" s="205" t="s">
        <v>1033</v>
      </c>
      <c r="I81" s="205" t="s">
        <v>662</v>
      </c>
      <c r="J81" s="203">
        <v>80</v>
      </c>
      <c r="K81" s="204" t="s">
        <v>563</v>
      </c>
      <c r="L81" s="206" t="s">
        <v>502</v>
      </c>
      <c r="M81" s="210" t="s">
        <v>18</v>
      </c>
      <c r="N81" s="211">
        <v>45678</v>
      </c>
      <c r="O81" s="207">
        <v>11</v>
      </c>
      <c r="P81" s="203">
        <v>1</v>
      </c>
      <c r="Q81" s="205" t="s">
        <v>23</v>
      </c>
      <c r="R81" s="205" t="s">
        <v>11</v>
      </c>
      <c r="S81" s="205" t="s">
        <v>23</v>
      </c>
      <c r="T81" s="207">
        <v>11</v>
      </c>
      <c r="U81" s="208" t="s">
        <v>11</v>
      </c>
      <c r="V81" s="212" t="s">
        <v>11</v>
      </c>
      <c r="W81" s="212" t="s">
        <v>19</v>
      </c>
      <c r="X81" s="209">
        <v>931021</v>
      </c>
      <c r="Y81" s="213" t="s">
        <v>735</v>
      </c>
      <c r="Z81" s="209">
        <v>11</v>
      </c>
      <c r="AA81" s="209">
        <v>931021</v>
      </c>
      <c r="AB81" s="209">
        <v>931021</v>
      </c>
      <c r="AC81" s="178" t="str">
        <f>IF(OR(M81="13",M81="14",P81=8),"",IF(AND(OR(S81="AUTORIZADO", S81="PENDIENTE", S81="REDUCIDO", S81="AMPLIADO"),L81&lt;&gt;"HONORARIO" ), CONCATENATE(IF(H81="X","H",H81),"_",IF(OR(P81=5,P81=6),_xlfn.CONCAT(P81,"A"),P81),"_",VLOOKUP(T81,Datos!$B$2:$C$5,2,TRUE)),""))</f>
        <v>M_1_[11 +]</v>
      </c>
      <c r="AD81" s="178">
        <f t="shared" si="27"/>
        <v>1862042</v>
      </c>
      <c r="AE81" s="82" t="str">
        <f t="shared" si="28"/>
        <v>-</v>
      </c>
      <c r="AF81" s="83" t="str">
        <f t="shared" si="29"/>
        <v>070601</v>
      </c>
      <c r="AG81" s="84"/>
      <c r="AH81" s="85" t="str">
        <f t="shared" si="30"/>
        <v>Corporación de Fomento de la Producción</v>
      </c>
      <c r="AI81" s="82" t="str">
        <f t="shared" si="31"/>
        <v>-</v>
      </c>
      <c r="AJ81" s="82">
        <f t="shared" si="32"/>
        <v>1</v>
      </c>
      <c r="AK81" s="82" t="str">
        <f t="shared" si="33"/>
        <v>-</v>
      </c>
      <c r="AL81" s="82" t="str">
        <f t="shared" si="34"/>
        <v>Identifica este registro como MUJER</v>
      </c>
      <c r="AM81" s="82" t="str">
        <f t="shared" si="35"/>
        <v>-</v>
      </c>
      <c r="AN81" s="82" t="str">
        <f t="shared" si="36"/>
        <v>-</v>
      </c>
      <c r="AO81" s="82" t="str">
        <f t="shared" si="37"/>
        <v>-</v>
      </c>
      <c r="AP81" s="57" t="str">
        <f t="shared" si="38"/>
        <v>-</v>
      </c>
      <c r="AQ81" s="86" t="str">
        <f t="shared" si="39"/>
        <v>-</v>
      </c>
      <c r="AR81" s="86" t="str">
        <f>IF(N81="","PRIMER_DIA en blanco",
IF(AND(M81="01",N81&gt;=L_Conversion!$C$118,N81&lt;=L_Conversion!$D$118),"-",
IF(AND(M81="02",N81&gt;=L_Conversion!$C$119,N81&lt;=L_Conversion!$D$119),"-",
IF(AND(M81="03",N81&gt;=L_Conversion!$C$120,N81&lt;=L_Conversion!$D$120),"-",
IF(AND(M81="04",N81&gt;=L_Conversion!$C$121,N81&lt;=L_Conversion!$D$121),"-",
IF(AND(M81="05",N81&gt;=L_Conversion!$C$122,N81&lt;=L_Conversion!$D$122),"-",
IF(AND(M81="06",N81&gt;=L_Conversion!$C$123,N81&lt;=L_Conversion!$D$123),"-",
IF(AND(M81="07",N81&gt;=L_Conversion!$C$124,N81&lt;=L_Conversion!$D$124),"-",
IF(AND(M81="08",N81&gt;=L_Conversion!$C$125,N81&lt;=L_Conversion!$D$125),"-",
IF(AND(M81="09",N81&gt;=L_Conversion!$C$126,N81&lt;=L_Conversion!$D$126),"-",
IF(AND(M81="10",N81&gt;=L_Conversion!$C$127,N81&lt;=L_Conversion!$D$127),"-",
IF(AND(M81="11",N81&gt;=L_Conversion!$C$128,N81&lt;=L_Conversion!$D$128),"-",
IF(AND(M81="12",N81&gt;=L_Conversion!$C$129,N81&lt;=L_Conversion!$D$129),"-",
IF(AND(M81="13",N81&gt;=L_Conversion!$C$116,N81&lt;=L_Conversion!$D$116),"-",
IF(AND(M81="14",N81&gt;=L_Conversion!$C$117,N81&lt;=L_Conversion!$D$117),"-",
"PRIMER_DIA fuera de rango")))))))))))))))</f>
        <v>-</v>
      </c>
      <c r="AS81" s="86" t="str">
        <f t="shared" si="40"/>
        <v>-</v>
      </c>
      <c r="AT81" s="86" t="str">
        <f t="shared" si="41"/>
        <v>-</v>
      </c>
      <c r="AU81" s="86" t="str">
        <f t="shared" si="42"/>
        <v>-</v>
      </c>
      <c r="AV81" s="86" t="str">
        <f t="shared" si="43"/>
        <v>-</v>
      </c>
      <c r="AW81" s="86" t="str">
        <f t="shared" si="44"/>
        <v>-</v>
      </c>
      <c r="AX81" s="86" t="str">
        <f t="shared" si="45"/>
        <v>-</v>
      </c>
      <c r="AY81" s="86" t="str">
        <f t="shared" si="46"/>
        <v>-</v>
      </c>
      <c r="AZ81" s="86" t="str">
        <f t="shared" si="47"/>
        <v>-</v>
      </c>
      <c r="BA81" s="86" t="str">
        <f t="shared" si="48"/>
        <v>-</v>
      </c>
      <c r="BB81" s="86" t="str">
        <f t="shared" si="49"/>
        <v>-</v>
      </c>
      <c r="BC81" s="86" t="str">
        <f t="shared" si="50"/>
        <v>-</v>
      </c>
      <c r="BD81" s="86" t="str">
        <f t="shared" si="51"/>
        <v>-</v>
      </c>
      <c r="BE81" s="86" t="str">
        <f t="shared" si="52"/>
        <v>-</v>
      </c>
      <c r="BF81" s="86" t="str">
        <f t="shared" si="53"/>
        <v>-</v>
      </c>
    </row>
    <row r="82" spans="1:58" x14ac:dyDescent="0.2">
      <c r="A82" s="80" t="s">
        <v>1144</v>
      </c>
      <c r="B82" s="92" t="s">
        <v>76</v>
      </c>
      <c r="C82" s="202">
        <v>14444742</v>
      </c>
      <c r="D82" s="203">
        <v>5</v>
      </c>
      <c r="E82" s="204" t="s">
        <v>1359</v>
      </c>
      <c r="F82" s="204" t="s">
        <v>1360</v>
      </c>
      <c r="G82" s="204" t="s">
        <v>1361</v>
      </c>
      <c r="H82" s="205" t="s">
        <v>663</v>
      </c>
      <c r="I82" s="205" t="s">
        <v>662</v>
      </c>
      <c r="J82" s="203">
        <v>80</v>
      </c>
      <c r="K82" s="204" t="s">
        <v>561</v>
      </c>
      <c r="L82" s="206" t="s">
        <v>502</v>
      </c>
      <c r="M82" s="210" t="s">
        <v>18</v>
      </c>
      <c r="N82" s="211">
        <v>45678</v>
      </c>
      <c r="O82" s="207">
        <v>1</v>
      </c>
      <c r="P82" s="203">
        <v>1</v>
      </c>
      <c r="Q82" s="205" t="s">
        <v>23</v>
      </c>
      <c r="R82" s="205" t="s">
        <v>11</v>
      </c>
      <c r="S82" s="205" t="s">
        <v>23</v>
      </c>
      <c r="T82" s="207">
        <v>1</v>
      </c>
      <c r="U82" s="208" t="s">
        <v>11</v>
      </c>
      <c r="V82" s="212" t="s">
        <v>19</v>
      </c>
      <c r="W82" s="212" t="s">
        <v>19</v>
      </c>
      <c r="X82" s="209">
        <v>24998</v>
      </c>
      <c r="Y82" s="213" t="s">
        <v>735</v>
      </c>
      <c r="Z82" s="209">
        <v>1</v>
      </c>
      <c r="AA82" s="209">
        <v>24998</v>
      </c>
      <c r="AB82" s="209">
        <v>24998</v>
      </c>
      <c r="AC82" s="178" t="str">
        <f>IF(OR(M82="13",M82="14",P82=8),"",IF(AND(OR(S82="AUTORIZADO", S82="PENDIENTE", S82="REDUCIDO", S82="AMPLIADO"),L82&lt;&gt;"HONORARIO" ), CONCATENATE(IF(H82="X","H",H82),"_",IF(OR(P82=5,P82=6),_xlfn.CONCAT(P82,"A"),P82),"_",VLOOKUP(T82,Datos!$B$2:$C$5,2,TRUE)),""))</f>
        <v>H_1_[hasta 3]</v>
      </c>
      <c r="AD82" s="178">
        <f t="shared" si="27"/>
        <v>49996</v>
      </c>
      <c r="AE82" s="82" t="str">
        <f t="shared" si="28"/>
        <v>-</v>
      </c>
      <c r="AF82" s="83" t="str">
        <f t="shared" si="29"/>
        <v>070601</v>
      </c>
      <c r="AG82" s="84"/>
      <c r="AH82" s="85" t="str">
        <f t="shared" si="30"/>
        <v>Corporación de Fomento de la Producción</v>
      </c>
      <c r="AI82" s="82" t="str">
        <f t="shared" si="31"/>
        <v>-</v>
      </c>
      <c r="AJ82" s="82">
        <f t="shared" si="32"/>
        <v>5</v>
      </c>
      <c r="AK82" s="82" t="str">
        <f t="shared" si="33"/>
        <v>-</v>
      </c>
      <c r="AL82" s="82" t="str">
        <f t="shared" si="34"/>
        <v>Identifica este registro como HOMBRE</v>
      </c>
      <c r="AM82" s="82" t="str">
        <f t="shared" si="35"/>
        <v>-</v>
      </c>
      <c r="AN82" s="82" t="str">
        <f t="shared" si="36"/>
        <v>-</v>
      </c>
      <c r="AO82" s="82" t="str">
        <f t="shared" si="37"/>
        <v>-</v>
      </c>
      <c r="AP82" s="57" t="str">
        <f t="shared" si="38"/>
        <v>-</v>
      </c>
      <c r="AQ82" s="86" t="str">
        <f t="shared" si="39"/>
        <v>-</v>
      </c>
      <c r="AR82" s="86" t="str">
        <f>IF(N82="","PRIMER_DIA en blanco",
IF(AND(M82="01",N82&gt;=L_Conversion!$C$118,N82&lt;=L_Conversion!$D$118),"-",
IF(AND(M82="02",N82&gt;=L_Conversion!$C$119,N82&lt;=L_Conversion!$D$119),"-",
IF(AND(M82="03",N82&gt;=L_Conversion!$C$120,N82&lt;=L_Conversion!$D$120),"-",
IF(AND(M82="04",N82&gt;=L_Conversion!$C$121,N82&lt;=L_Conversion!$D$121),"-",
IF(AND(M82="05",N82&gt;=L_Conversion!$C$122,N82&lt;=L_Conversion!$D$122),"-",
IF(AND(M82="06",N82&gt;=L_Conversion!$C$123,N82&lt;=L_Conversion!$D$123),"-",
IF(AND(M82="07",N82&gt;=L_Conversion!$C$124,N82&lt;=L_Conversion!$D$124),"-",
IF(AND(M82="08",N82&gt;=L_Conversion!$C$125,N82&lt;=L_Conversion!$D$125),"-",
IF(AND(M82="09",N82&gt;=L_Conversion!$C$126,N82&lt;=L_Conversion!$D$126),"-",
IF(AND(M82="10",N82&gt;=L_Conversion!$C$127,N82&lt;=L_Conversion!$D$127),"-",
IF(AND(M82="11",N82&gt;=L_Conversion!$C$128,N82&lt;=L_Conversion!$D$128),"-",
IF(AND(M82="12",N82&gt;=L_Conversion!$C$129,N82&lt;=L_Conversion!$D$129),"-",
IF(AND(M82="13",N82&gt;=L_Conversion!$C$116,N82&lt;=L_Conversion!$D$116),"-",
IF(AND(M82="14",N82&gt;=L_Conversion!$C$117,N82&lt;=L_Conversion!$D$117),"-",
"PRIMER_DIA fuera de rango")))))))))))))))</f>
        <v>-</v>
      </c>
      <c r="AS82" s="86" t="str">
        <f t="shared" si="40"/>
        <v>-</v>
      </c>
      <c r="AT82" s="86" t="str">
        <f t="shared" si="41"/>
        <v>-</v>
      </c>
      <c r="AU82" s="86" t="str">
        <f t="shared" si="42"/>
        <v>-</v>
      </c>
      <c r="AV82" s="86" t="str">
        <f t="shared" si="43"/>
        <v>-</v>
      </c>
      <c r="AW82" s="86" t="str">
        <f t="shared" si="44"/>
        <v>-</v>
      </c>
      <c r="AX82" s="86" t="str">
        <f t="shared" si="45"/>
        <v>-</v>
      </c>
      <c r="AY82" s="86" t="str">
        <f t="shared" si="46"/>
        <v>-</v>
      </c>
      <c r="AZ82" s="86" t="str">
        <f t="shared" si="47"/>
        <v>-</v>
      </c>
      <c r="BA82" s="86" t="str">
        <f t="shared" si="48"/>
        <v>-</v>
      </c>
      <c r="BB82" s="86" t="str">
        <f t="shared" si="49"/>
        <v>-</v>
      </c>
      <c r="BC82" s="86" t="str">
        <f t="shared" si="50"/>
        <v>-</v>
      </c>
      <c r="BD82" s="86" t="str">
        <f t="shared" si="51"/>
        <v>-</v>
      </c>
      <c r="BE82" s="86" t="str">
        <f t="shared" si="52"/>
        <v>-</v>
      </c>
      <c r="BF82" s="86" t="str">
        <f t="shared" si="53"/>
        <v>-</v>
      </c>
    </row>
    <row r="83" spans="1:58" x14ac:dyDescent="0.2">
      <c r="A83" s="80" t="s">
        <v>1144</v>
      </c>
      <c r="B83" s="92" t="s">
        <v>76</v>
      </c>
      <c r="C83" s="202">
        <v>18211616</v>
      </c>
      <c r="D83" s="203">
        <v>5</v>
      </c>
      <c r="E83" s="204" t="s">
        <v>1193</v>
      </c>
      <c r="F83" s="204" t="s">
        <v>1175</v>
      </c>
      <c r="G83" s="204" t="s">
        <v>1362</v>
      </c>
      <c r="H83" s="205" t="s">
        <v>1033</v>
      </c>
      <c r="I83" s="205" t="s">
        <v>662</v>
      </c>
      <c r="J83" s="203">
        <v>80</v>
      </c>
      <c r="K83" s="204" t="s">
        <v>563</v>
      </c>
      <c r="L83" s="206" t="s">
        <v>502</v>
      </c>
      <c r="M83" s="210" t="s">
        <v>18</v>
      </c>
      <c r="N83" s="211">
        <v>45678</v>
      </c>
      <c r="O83" s="207">
        <v>1</v>
      </c>
      <c r="P83" s="203">
        <v>1</v>
      </c>
      <c r="Q83" s="205" t="s">
        <v>23</v>
      </c>
      <c r="R83" s="205" t="s">
        <v>11</v>
      </c>
      <c r="S83" s="205" t="s">
        <v>23</v>
      </c>
      <c r="T83" s="207">
        <v>1</v>
      </c>
      <c r="U83" s="208" t="s">
        <v>11</v>
      </c>
      <c r="V83" s="212" t="s">
        <v>19</v>
      </c>
      <c r="W83" s="212" t="s">
        <v>19</v>
      </c>
      <c r="X83" s="209">
        <v>13624</v>
      </c>
      <c r="Y83" s="213" t="s">
        <v>735</v>
      </c>
      <c r="Z83" s="209">
        <v>1</v>
      </c>
      <c r="AA83" s="209">
        <v>13624</v>
      </c>
      <c r="AB83" s="209">
        <v>13624</v>
      </c>
      <c r="AC83" s="178" t="str">
        <f>IF(OR(M83="13",M83="14",P83=8),"",IF(AND(OR(S83="AUTORIZADO", S83="PENDIENTE", S83="REDUCIDO", S83="AMPLIADO"),L83&lt;&gt;"HONORARIO" ), CONCATENATE(IF(H83="X","H",H83),"_",IF(OR(P83=5,P83=6),_xlfn.CONCAT(P83,"A"),P83),"_",VLOOKUP(T83,Datos!$B$2:$C$5,2,TRUE)),""))</f>
        <v>M_1_[hasta 3]</v>
      </c>
      <c r="AD83" s="178">
        <f t="shared" si="27"/>
        <v>27248</v>
      </c>
      <c r="AE83" s="82" t="str">
        <f t="shared" si="28"/>
        <v>-</v>
      </c>
      <c r="AF83" s="83" t="str">
        <f t="shared" si="29"/>
        <v>070601</v>
      </c>
      <c r="AG83" s="84"/>
      <c r="AH83" s="85" t="str">
        <f t="shared" si="30"/>
        <v>Corporación de Fomento de la Producción</v>
      </c>
      <c r="AI83" s="82" t="str">
        <f t="shared" si="31"/>
        <v>-</v>
      </c>
      <c r="AJ83" s="82">
        <f t="shared" si="32"/>
        <v>5</v>
      </c>
      <c r="AK83" s="82" t="str">
        <f t="shared" si="33"/>
        <v>-</v>
      </c>
      <c r="AL83" s="82" t="str">
        <f t="shared" si="34"/>
        <v>Identifica este registro como MUJER</v>
      </c>
      <c r="AM83" s="82" t="str">
        <f t="shared" si="35"/>
        <v>-</v>
      </c>
      <c r="AN83" s="82" t="str">
        <f t="shared" si="36"/>
        <v>-</v>
      </c>
      <c r="AO83" s="82" t="str">
        <f t="shared" si="37"/>
        <v>-</v>
      </c>
      <c r="AP83" s="57" t="str">
        <f t="shared" si="38"/>
        <v>-</v>
      </c>
      <c r="AQ83" s="86" t="str">
        <f t="shared" si="39"/>
        <v>-</v>
      </c>
      <c r="AR83" s="86" t="str">
        <f>IF(N83="","PRIMER_DIA en blanco",
IF(AND(M83="01",N83&gt;=L_Conversion!$C$118,N83&lt;=L_Conversion!$D$118),"-",
IF(AND(M83="02",N83&gt;=L_Conversion!$C$119,N83&lt;=L_Conversion!$D$119),"-",
IF(AND(M83="03",N83&gt;=L_Conversion!$C$120,N83&lt;=L_Conversion!$D$120),"-",
IF(AND(M83="04",N83&gt;=L_Conversion!$C$121,N83&lt;=L_Conversion!$D$121),"-",
IF(AND(M83="05",N83&gt;=L_Conversion!$C$122,N83&lt;=L_Conversion!$D$122),"-",
IF(AND(M83="06",N83&gt;=L_Conversion!$C$123,N83&lt;=L_Conversion!$D$123),"-",
IF(AND(M83="07",N83&gt;=L_Conversion!$C$124,N83&lt;=L_Conversion!$D$124),"-",
IF(AND(M83="08",N83&gt;=L_Conversion!$C$125,N83&lt;=L_Conversion!$D$125),"-",
IF(AND(M83="09",N83&gt;=L_Conversion!$C$126,N83&lt;=L_Conversion!$D$126),"-",
IF(AND(M83="10",N83&gt;=L_Conversion!$C$127,N83&lt;=L_Conversion!$D$127),"-",
IF(AND(M83="11",N83&gt;=L_Conversion!$C$128,N83&lt;=L_Conversion!$D$128),"-",
IF(AND(M83="12",N83&gt;=L_Conversion!$C$129,N83&lt;=L_Conversion!$D$129),"-",
IF(AND(M83="13",N83&gt;=L_Conversion!$C$116,N83&lt;=L_Conversion!$D$116),"-",
IF(AND(M83="14",N83&gt;=L_Conversion!$C$117,N83&lt;=L_Conversion!$D$117),"-",
"PRIMER_DIA fuera de rango")))))))))))))))</f>
        <v>-</v>
      </c>
      <c r="AS83" s="86" t="str">
        <f t="shared" si="40"/>
        <v>-</v>
      </c>
      <c r="AT83" s="86" t="str">
        <f t="shared" si="41"/>
        <v>-</v>
      </c>
      <c r="AU83" s="86" t="str">
        <f t="shared" si="42"/>
        <v>-</v>
      </c>
      <c r="AV83" s="86" t="str">
        <f t="shared" si="43"/>
        <v>-</v>
      </c>
      <c r="AW83" s="86" t="str">
        <f t="shared" si="44"/>
        <v>-</v>
      </c>
      <c r="AX83" s="86" t="str">
        <f t="shared" si="45"/>
        <v>-</v>
      </c>
      <c r="AY83" s="86" t="str">
        <f t="shared" si="46"/>
        <v>-</v>
      </c>
      <c r="AZ83" s="86" t="str">
        <f t="shared" si="47"/>
        <v>-</v>
      </c>
      <c r="BA83" s="86" t="str">
        <f t="shared" si="48"/>
        <v>-</v>
      </c>
      <c r="BB83" s="86" t="str">
        <f t="shared" si="49"/>
        <v>-</v>
      </c>
      <c r="BC83" s="86" t="str">
        <f t="shared" si="50"/>
        <v>-</v>
      </c>
      <c r="BD83" s="86" t="str">
        <f t="shared" si="51"/>
        <v>-</v>
      </c>
      <c r="BE83" s="86" t="str">
        <f t="shared" si="52"/>
        <v>-</v>
      </c>
      <c r="BF83" s="86" t="str">
        <f t="shared" si="53"/>
        <v>-</v>
      </c>
    </row>
    <row r="84" spans="1:58" x14ac:dyDescent="0.2">
      <c r="A84" s="80" t="s">
        <v>1144</v>
      </c>
      <c r="B84" s="92" t="s">
        <v>678</v>
      </c>
      <c r="C84" s="202">
        <v>11751283</v>
      </c>
      <c r="D84" s="203">
        <v>5</v>
      </c>
      <c r="E84" s="204" t="s">
        <v>1148</v>
      </c>
      <c r="F84" s="204" t="s">
        <v>1245</v>
      </c>
      <c r="G84" s="204" t="s">
        <v>1363</v>
      </c>
      <c r="H84" s="205" t="s">
        <v>1033</v>
      </c>
      <c r="I84" s="205" t="s">
        <v>663</v>
      </c>
      <c r="J84" s="203">
        <v>80</v>
      </c>
      <c r="K84" s="204" t="s">
        <v>567</v>
      </c>
      <c r="L84" s="206" t="s">
        <v>516</v>
      </c>
      <c r="M84" s="210" t="s">
        <v>18</v>
      </c>
      <c r="N84" s="211">
        <v>45678</v>
      </c>
      <c r="O84" s="207">
        <v>21</v>
      </c>
      <c r="P84" s="203">
        <v>1</v>
      </c>
      <c r="Q84" s="205" t="s">
        <v>23</v>
      </c>
      <c r="R84" s="205" t="s">
        <v>11</v>
      </c>
      <c r="S84" s="205" t="s">
        <v>23</v>
      </c>
      <c r="T84" s="207">
        <v>21</v>
      </c>
      <c r="U84" s="208" t="s">
        <v>11</v>
      </c>
      <c r="V84" s="212" t="s">
        <v>11</v>
      </c>
      <c r="W84" s="212" t="s">
        <v>19</v>
      </c>
      <c r="X84" s="209">
        <v>293349</v>
      </c>
      <c r="Y84" s="213" t="s">
        <v>735</v>
      </c>
      <c r="Z84" s="209">
        <v>21</v>
      </c>
      <c r="AA84" s="209">
        <v>293349</v>
      </c>
      <c r="AB84" s="209">
        <v>293349</v>
      </c>
      <c r="AC84" s="178" t="str">
        <f>IF(OR(M84="13",M84="14",P84=8),"",IF(AND(OR(S84="AUTORIZADO", S84="PENDIENTE", S84="REDUCIDO", S84="AMPLIADO"),L84&lt;&gt;"HONORARIO" ), CONCATENATE(IF(H84="X","H",H84),"_",IF(OR(P84=5,P84=6),_xlfn.CONCAT(P84,"A"),P84),"_",VLOOKUP(T84,Datos!$B$2:$C$5,2,TRUE)),""))</f>
        <v>M_1_[11 +]</v>
      </c>
      <c r="AD84" s="178">
        <f t="shared" si="27"/>
        <v>586698</v>
      </c>
      <c r="AE84" s="82" t="str">
        <f t="shared" si="28"/>
        <v>-</v>
      </c>
      <c r="AF84" s="83" t="str">
        <f t="shared" si="29"/>
        <v>Revisar</v>
      </c>
      <c r="AG84" s="84"/>
      <c r="AH84" s="85" t="str">
        <f t="shared" si="30"/>
        <v>Corporación de Fomento de la Producción</v>
      </c>
      <c r="AI84" s="82" t="str">
        <f t="shared" si="31"/>
        <v>-</v>
      </c>
      <c r="AJ84" s="82">
        <f t="shared" si="32"/>
        <v>5</v>
      </c>
      <c r="AK84" s="82" t="str">
        <f t="shared" si="33"/>
        <v>-</v>
      </c>
      <c r="AL84" s="82" t="str">
        <f t="shared" si="34"/>
        <v>Identifica este registro como MUJER</v>
      </c>
      <c r="AM84" s="82" t="str">
        <f t="shared" si="35"/>
        <v>-</v>
      </c>
      <c r="AN84" s="82" t="str">
        <f t="shared" si="36"/>
        <v>-</v>
      </c>
      <c r="AO84" s="82" t="str">
        <f t="shared" si="37"/>
        <v>-</v>
      </c>
      <c r="AP84" s="57" t="str">
        <f t="shared" si="38"/>
        <v>-</v>
      </c>
      <c r="AQ84" s="86" t="str">
        <f t="shared" si="39"/>
        <v>-</v>
      </c>
      <c r="AR84" s="86" t="str">
        <f>IF(N84="","PRIMER_DIA en blanco",
IF(AND(M84="01",N84&gt;=L_Conversion!$C$118,N84&lt;=L_Conversion!$D$118),"-",
IF(AND(M84="02",N84&gt;=L_Conversion!$C$119,N84&lt;=L_Conversion!$D$119),"-",
IF(AND(M84="03",N84&gt;=L_Conversion!$C$120,N84&lt;=L_Conversion!$D$120),"-",
IF(AND(M84="04",N84&gt;=L_Conversion!$C$121,N84&lt;=L_Conversion!$D$121),"-",
IF(AND(M84="05",N84&gt;=L_Conversion!$C$122,N84&lt;=L_Conversion!$D$122),"-",
IF(AND(M84="06",N84&gt;=L_Conversion!$C$123,N84&lt;=L_Conversion!$D$123),"-",
IF(AND(M84="07",N84&gt;=L_Conversion!$C$124,N84&lt;=L_Conversion!$D$124),"-",
IF(AND(M84="08",N84&gt;=L_Conversion!$C$125,N84&lt;=L_Conversion!$D$125),"-",
IF(AND(M84="09",N84&gt;=L_Conversion!$C$126,N84&lt;=L_Conversion!$D$126),"-",
IF(AND(M84="10",N84&gt;=L_Conversion!$C$127,N84&lt;=L_Conversion!$D$127),"-",
IF(AND(M84="11",N84&gt;=L_Conversion!$C$128,N84&lt;=L_Conversion!$D$128),"-",
IF(AND(M84="12",N84&gt;=L_Conversion!$C$129,N84&lt;=L_Conversion!$D$129),"-",
IF(AND(M84="13",N84&gt;=L_Conversion!$C$116,N84&lt;=L_Conversion!$D$116),"-",
IF(AND(M84="14",N84&gt;=L_Conversion!$C$117,N84&lt;=L_Conversion!$D$117),"-",
"PRIMER_DIA fuera de rango")))))))))))))))</f>
        <v>-</v>
      </c>
      <c r="AS84" s="86" t="str">
        <f t="shared" si="40"/>
        <v>-</v>
      </c>
      <c r="AT84" s="86" t="str">
        <f t="shared" si="41"/>
        <v>-</v>
      </c>
      <c r="AU84" s="86" t="str">
        <f t="shared" si="42"/>
        <v>-</v>
      </c>
      <c r="AV84" s="86" t="str">
        <f t="shared" si="43"/>
        <v>-</v>
      </c>
      <c r="AW84" s="86" t="str">
        <f t="shared" si="44"/>
        <v>-</v>
      </c>
      <c r="AX84" s="86" t="str">
        <f t="shared" si="45"/>
        <v>-</v>
      </c>
      <c r="AY84" s="86" t="str">
        <f t="shared" si="46"/>
        <v>-</v>
      </c>
      <c r="AZ84" s="86" t="str">
        <f t="shared" si="47"/>
        <v>-</v>
      </c>
      <c r="BA84" s="86" t="str">
        <f t="shared" si="48"/>
        <v>-</v>
      </c>
      <c r="BB84" s="86" t="str">
        <f t="shared" si="49"/>
        <v>-</v>
      </c>
      <c r="BC84" s="86" t="str">
        <f t="shared" si="50"/>
        <v>-</v>
      </c>
      <c r="BD84" s="86" t="str">
        <f t="shared" si="51"/>
        <v>-</v>
      </c>
      <c r="BE84" s="86" t="str">
        <f t="shared" si="52"/>
        <v>-</v>
      </c>
      <c r="BF84" s="86" t="str">
        <f t="shared" si="53"/>
        <v>-</v>
      </c>
    </row>
    <row r="85" spans="1:58" x14ac:dyDescent="0.2">
      <c r="A85" s="80" t="s">
        <v>1144</v>
      </c>
      <c r="B85" s="92" t="s">
        <v>886</v>
      </c>
      <c r="C85" s="202">
        <v>15478578</v>
      </c>
      <c r="D85" s="203">
        <v>7</v>
      </c>
      <c r="E85" s="204" t="s">
        <v>1188</v>
      </c>
      <c r="F85" s="204" t="s">
        <v>1181</v>
      </c>
      <c r="G85" s="204" t="s">
        <v>1364</v>
      </c>
      <c r="H85" s="205" t="s">
        <v>1033</v>
      </c>
      <c r="I85" s="205" t="s">
        <v>662</v>
      </c>
      <c r="J85" s="203">
        <v>80</v>
      </c>
      <c r="K85" s="204" t="s">
        <v>563</v>
      </c>
      <c r="L85" s="206" t="s">
        <v>502</v>
      </c>
      <c r="M85" s="210" t="s">
        <v>18</v>
      </c>
      <c r="N85" s="211">
        <v>45678</v>
      </c>
      <c r="O85" s="207">
        <v>3</v>
      </c>
      <c r="P85" s="203">
        <v>1</v>
      </c>
      <c r="Q85" s="205" t="s">
        <v>23</v>
      </c>
      <c r="R85" s="205" t="s">
        <v>11</v>
      </c>
      <c r="S85" s="205" t="s">
        <v>23</v>
      </c>
      <c r="T85" s="207">
        <v>3</v>
      </c>
      <c r="U85" s="208" t="s">
        <v>11</v>
      </c>
      <c r="V85" s="212" t="s">
        <v>19</v>
      </c>
      <c r="W85" s="212" t="s">
        <v>19</v>
      </c>
      <c r="X85" s="209">
        <v>40997</v>
      </c>
      <c r="Y85" s="213" t="s">
        <v>735</v>
      </c>
      <c r="Z85" s="209">
        <v>3</v>
      </c>
      <c r="AA85" s="209">
        <v>40997</v>
      </c>
      <c r="AB85" s="209">
        <v>40997</v>
      </c>
      <c r="AC85" s="178" t="str">
        <f>IF(OR(M85="13",M85="14",P85=8),"",IF(AND(OR(S85="AUTORIZADO", S85="PENDIENTE", S85="REDUCIDO", S85="AMPLIADO"),L85&lt;&gt;"HONORARIO" ), CONCATENATE(IF(H85="X","H",H85),"_",IF(OR(P85=5,P85=6),_xlfn.CONCAT(P85,"A"),P85),"_",VLOOKUP(T85,Datos!$B$2:$C$5,2,TRUE)),""))</f>
        <v>M_1_[hasta 3]</v>
      </c>
      <c r="AD85" s="178">
        <f t="shared" si="27"/>
        <v>81994</v>
      </c>
      <c r="AE85" s="82" t="str">
        <f t="shared" si="28"/>
        <v>-</v>
      </c>
      <c r="AF85" s="83" t="str">
        <f t="shared" si="29"/>
        <v>070606</v>
      </c>
      <c r="AG85" s="84"/>
      <c r="AH85" s="85" t="str">
        <f t="shared" si="30"/>
        <v>Corporación de Fomento de la Producción</v>
      </c>
      <c r="AI85" s="82" t="str">
        <f t="shared" si="31"/>
        <v>-</v>
      </c>
      <c r="AJ85" s="82">
        <f t="shared" si="32"/>
        <v>7</v>
      </c>
      <c r="AK85" s="82" t="str">
        <f t="shared" si="33"/>
        <v>-</v>
      </c>
      <c r="AL85" s="82" t="str">
        <f t="shared" si="34"/>
        <v>Identifica este registro como MUJER</v>
      </c>
      <c r="AM85" s="82" t="str">
        <f t="shared" si="35"/>
        <v>-</v>
      </c>
      <c r="AN85" s="82" t="str">
        <f t="shared" si="36"/>
        <v>-</v>
      </c>
      <c r="AO85" s="82" t="str">
        <f t="shared" si="37"/>
        <v>-</v>
      </c>
      <c r="AP85" s="57" t="str">
        <f t="shared" si="38"/>
        <v>-</v>
      </c>
      <c r="AQ85" s="86" t="str">
        <f t="shared" si="39"/>
        <v>-</v>
      </c>
      <c r="AR85" s="86" t="str">
        <f>IF(N85="","PRIMER_DIA en blanco",
IF(AND(M85="01",N85&gt;=L_Conversion!$C$118,N85&lt;=L_Conversion!$D$118),"-",
IF(AND(M85="02",N85&gt;=L_Conversion!$C$119,N85&lt;=L_Conversion!$D$119),"-",
IF(AND(M85="03",N85&gt;=L_Conversion!$C$120,N85&lt;=L_Conversion!$D$120),"-",
IF(AND(M85="04",N85&gt;=L_Conversion!$C$121,N85&lt;=L_Conversion!$D$121),"-",
IF(AND(M85="05",N85&gt;=L_Conversion!$C$122,N85&lt;=L_Conversion!$D$122),"-",
IF(AND(M85="06",N85&gt;=L_Conversion!$C$123,N85&lt;=L_Conversion!$D$123),"-",
IF(AND(M85="07",N85&gt;=L_Conversion!$C$124,N85&lt;=L_Conversion!$D$124),"-",
IF(AND(M85="08",N85&gt;=L_Conversion!$C$125,N85&lt;=L_Conversion!$D$125),"-",
IF(AND(M85="09",N85&gt;=L_Conversion!$C$126,N85&lt;=L_Conversion!$D$126),"-",
IF(AND(M85="10",N85&gt;=L_Conversion!$C$127,N85&lt;=L_Conversion!$D$127),"-",
IF(AND(M85="11",N85&gt;=L_Conversion!$C$128,N85&lt;=L_Conversion!$D$128),"-",
IF(AND(M85="12",N85&gt;=L_Conversion!$C$129,N85&lt;=L_Conversion!$D$129),"-",
IF(AND(M85="13",N85&gt;=L_Conversion!$C$116,N85&lt;=L_Conversion!$D$116),"-",
IF(AND(M85="14",N85&gt;=L_Conversion!$C$117,N85&lt;=L_Conversion!$D$117),"-",
"PRIMER_DIA fuera de rango")))))))))))))))</f>
        <v>-</v>
      </c>
      <c r="AS85" s="86" t="str">
        <f t="shared" si="40"/>
        <v>-</v>
      </c>
      <c r="AT85" s="86" t="str">
        <f t="shared" si="41"/>
        <v>-</v>
      </c>
      <c r="AU85" s="86" t="str">
        <f t="shared" si="42"/>
        <v>-</v>
      </c>
      <c r="AV85" s="86" t="str">
        <f t="shared" si="43"/>
        <v>-</v>
      </c>
      <c r="AW85" s="86" t="str">
        <f t="shared" si="44"/>
        <v>-</v>
      </c>
      <c r="AX85" s="86" t="str">
        <f t="shared" si="45"/>
        <v>-</v>
      </c>
      <c r="AY85" s="86" t="str">
        <f t="shared" si="46"/>
        <v>-</v>
      </c>
      <c r="AZ85" s="86" t="str">
        <f t="shared" si="47"/>
        <v>-</v>
      </c>
      <c r="BA85" s="86" t="str">
        <f t="shared" si="48"/>
        <v>-</v>
      </c>
      <c r="BB85" s="86" t="str">
        <f t="shared" si="49"/>
        <v>-</v>
      </c>
      <c r="BC85" s="86" t="str">
        <f t="shared" si="50"/>
        <v>-</v>
      </c>
      <c r="BD85" s="86" t="str">
        <f t="shared" si="51"/>
        <v>-</v>
      </c>
      <c r="BE85" s="86" t="str">
        <f t="shared" si="52"/>
        <v>-</v>
      </c>
      <c r="BF85" s="86" t="str">
        <f t="shared" si="53"/>
        <v>-</v>
      </c>
    </row>
    <row r="86" spans="1:58" x14ac:dyDescent="0.2">
      <c r="A86" s="80" t="s">
        <v>1144</v>
      </c>
      <c r="B86" s="92" t="s">
        <v>76</v>
      </c>
      <c r="C86" s="202">
        <v>10219404</v>
      </c>
      <c r="D86" s="203">
        <v>7</v>
      </c>
      <c r="E86" s="204" t="s">
        <v>1365</v>
      </c>
      <c r="F86" s="204" t="s">
        <v>1366</v>
      </c>
      <c r="G86" s="204" t="s">
        <v>1367</v>
      </c>
      <c r="H86" s="205" t="s">
        <v>1033</v>
      </c>
      <c r="I86" s="205" t="s">
        <v>662</v>
      </c>
      <c r="J86" s="203">
        <v>80</v>
      </c>
      <c r="K86" s="204" t="s">
        <v>563</v>
      </c>
      <c r="L86" s="206" t="s">
        <v>502</v>
      </c>
      <c r="M86" s="210" t="s">
        <v>18</v>
      </c>
      <c r="N86" s="211">
        <v>45679</v>
      </c>
      <c r="O86" s="207">
        <v>3</v>
      </c>
      <c r="P86" s="203">
        <v>1</v>
      </c>
      <c r="Q86" s="205" t="s">
        <v>23</v>
      </c>
      <c r="R86" s="205" t="s">
        <v>11</v>
      </c>
      <c r="S86" s="205" t="s">
        <v>23</v>
      </c>
      <c r="T86" s="207">
        <v>3</v>
      </c>
      <c r="U86" s="208" t="s">
        <v>11</v>
      </c>
      <c r="V86" s="212" t="s">
        <v>19</v>
      </c>
      <c r="W86" s="212" t="s">
        <v>19</v>
      </c>
      <c r="X86" s="209">
        <v>77612</v>
      </c>
      <c r="Y86" s="213" t="s">
        <v>735</v>
      </c>
      <c r="Z86" s="209">
        <v>3</v>
      </c>
      <c r="AA86" s="209">
        <v>77612</v>
      </c>
      <c r="AB86" s="209">
        <v>77612</v>
      </c>
      <c r="AC86" s="178" t="str">
        <f>IF(OR(M86="13",M86="14",P86=8),"",IF(AND(OR(S86="AUTORIZADO", S86="PENDIENTE", S86="REDUCIDO", S86="AMPLIADO"),L86&lt;&gt;"HONORARIO" ), CONCATENATE(IF(H86="X","H",H86),"_",IF(OR(P86=5,P86=6),_xlfn.CONCAT(P86,"A"),P86),"_",VLOOKUP(T86,Datos!$B$2:$C$5,2,TRUE)),""))</f>
        <v>M_1_[hasta 3]</v>
      </c>
      <c r="AD86" s="178">
        <f t="shared" si="27"/>
        <v>155224</v>
      </c>
      <c r="AE86" s="82" t="str">
        <f t="shared" si="28"/>
        <v>-</v>
      </c>
      <c r="AF86" s="83" t="str">
        <f t="shared" si="29"/>
        <v>070601</v>
      </c>
      <c r="AG86" s="84"/>
      <c r="AH86" s="85" t="str">
        <f t="shared" si="30"/>
        <v>Corporación de Fomento de la Producción</v>
      </c>
      <c r="AI86" s="82" t="str">
        <f t="shared" si="31"/>
        <v>-</v>
      </c>
      <c r="AJ86" s="82">
        <f t="shared" si="32"/>
        <v>7</v>
      </c>
      <c r="AK86" s="82" t="str">
        <f t="shared" si="33"/>
        <v>-</v>
      </c>
      <c r="AL86" s="82" t="str">
        <f t="shared" si="34"/>
        <v>Identifica este registro como MUJER</v>
      </c>
      <c r="AM86" s="82" t="str">
        <f t="shared" si="35"/>
        <v>-</v>
      </c>
      <c r="AN86" s="82" t="str">
        <f t="shared" si="36"/>
        <v>-</v>
      </c>
      <c r="AO86" s="82" t="str">
        <f t="shared" si="37"/>
        <v>-</v>
      </c>
      <c r="AP86" s="57" t="str">
        <f t="shared" si="38"/>
        <v>-</v>
      </c>
      <c r="AQ86" s="86" t="str">
        <f t="shared" si="39"/>
        <v>-</v>
      </c>
      <c r="AR86" s="86" t="str">
        <f>IF(N86="","PRIMER_DIA en blanco",
IF(AND(M86="01",N86&gt;=L_Conversion!$C$118,N86&lt;=L_Conversion!$D$118),"-",
IF(AND(M86="02",N86&gt;=L_Conversion!$C$119,N86&lt;=L_Conversion!$D$119),"-",
IF(AND(M86="03",N86&gt;=L_Conversion!$C$120,N86&lt;=L_Conversion!$D$120),"-",
IF(AND(M86="04",N86&gt;=L_Conversion!$C$121,N86&lt;=L_Conversion!$D$121),"-",
IF(AND(M86="05",N86&gt;=L_Conversion!$C$122,N86&lt;=L_Conversion!$D$122),"-",
IF(AND(M86="06",N86&gt;=L_Conversion!$C$123,N86&lt;=L_Conversion!$D$123),"-",
IF(AND(M86="07",N86&gt;=L_Conversion!$C$124,N86&lt;=L_Conversion!$D$124),"-",
IF(AND(M86="08",N86&gt;=L_Conversion!$C$125,N86&lt;=L_Conversion!$D$125),"-",
IF(AND(M86="09",N86&gt;=L_Conversion!$C$126,N86&lt;=L_Conversion!$D$126),"-",
IF(AND(M86="10",N86&gt;=L_Conversion!$C$127,N86&lt;=L_Conversion!$D$127),"-",
IF(AND(M86="11",N86&gt;=L_Conversion!$C$128,N86&lt;=L_Conversion!$D$128),"-",
IF(AND(M86="12",N86&gt;=L_Conversion!$C$129,N86&lt;=L_Conversion!$D$129),"-",
IF(AND(M86="13",N86&gt;=L_Conversion!$C$116,N86&lt;=L_Conversion!$D$116),"-",
IF(AND(M86="14",N86&gt;=L_Conversion!$C$117,N86&lt;=L_Conversion!$D$117),"-",
"PRIMER_DIA fuera de rango")))))))))))))))</f>
        <v>-</v>
      </c>
      <c r="AS86" s="86" t="str">
        <f t="shared" si="40"/>
        <v>-</v>
      </c>
      <c r="AT86" s="86" t="str">
        <f t="shared" si="41"/>
        <v>-</v>
      </c>
      <c r="AU86" s="86" t="str">
        <f t="shared" si="42"/>
        <v>-</v>
      </c>
      <c r="AV86" s="86" t="str">
        <f t="shared" si="43"/>
        <v>-</v>
      </c>
      <c r="AW86" s="86" t="str">
        <f t="shared" si="44"/>
        <v>-</v>
      </c>
      <c r="AX86" s="86" t="str">
        <f t="shared" si="45"/>
        <v>-</v>
      </c>
      <c r="AY86" s="86" t="str">
        <f t="shared" si="46"/>
        <v>-</v>
      </c>
      <c r="AZ86" s="86" t="str">
        <f t="shared" si="47"/>
        <v>-</v>
      </c>
      <c r="BA86" s="86" t="str">
        <f t="shared" si="48"/>
        <v>-</v>
      </c>
      <c r="BB86" s="86" t="str">
        <f t="shared" si="49"/>
        <v>-</v>
      </c>
      <c r="BC86" s="86" t="str">
        <f t="shared" si="50"/>
        <v>-</v>
      </c>
      <c r="BD86" s="86" t="str">
        <f t="shared" si="51"/>
        <v>-</v>
      </c>
      <c r="BE86" s="86" t="str">
        <f t="shared" si="52"/>
        <v>-</v>
      </c>
      <c r="BF86" s="86" t="str">
        <f t="shared" si="53"/>
        <v>-</v>
      </c>
    </row>
    <row r="87" spans="1:58" x14ac:dyDescent="0.2">
      <c r="A87" s="80" t="s">
        <v>1144</v>
      </c>
      <c r="B87" s="92" t="s">
        <v>76</v>
      </c>
      <c r="C87" s="202">
        <v>10912720</v>
      </c>
      <c r="D87" s="203">
        <v>5</v>
      </c>
      <c r="E87" s="204" t="s">
        <v>1368</v>
      </c>
      <c r="F87" s="204" t="s">
        <v>1369</v>
      </c>
      <c r="G87" s="204" t="s">
        <v>1370</v>
      </c>
      <c r="H87" s="205" t="s">
        <v>1033</v>
      </c>
      <c r="I87" s="205" t="s">
        <v>662</v>
      </c>
      <c r="J87" s="203">
        <v>80</v>
      </c>
      <c r="K87" s="204" t="s">
        <v>563</v>
      </c>
      <c r="L87" s="206" t="s">
        <v>502</v>
      </c>
      <c r="M87" s="210" t="s">
        <v>18</v>
      </c>
      <c r="N87" s="211">
        <v>45679</v>
      </c>
      <c r="O87" s="207">
        <v>3</v>
      </c>
      <c r="P87" s="203">
        <v>1</v>
      </c>
      <c r="Q87" s="205" t="s">
        <v>23</v>
      </c>
      <c r="R87" s="205" t="s">
        <v>11</v>
      </c>
      <c r="S87" s="205" t="s">
        <v>23</v>
      </c>
      <c r="T87" s="207">
        <v>3</v>
      </c>
      <c r="U87" s="208" t="s">
        <v>11</v>
      </c>
      <c r="V87" s="212" t="s">
        <v>19</v>
      </c>
      <c r="W87" s="212" t="s">
        <v>19</v>
      </c>
      <c r="X87" s="209">
        <v>70735</v>
      </c>
      <c r="Y87" s="213" t="s">
        <v>735</v>
      </c>
      <c r="Z87" s="209">
        <v>3</v>
      </c>
      <c r="AA87" s="209">
        <v>70735</v>
      </c>
      <c r="AB87" s="209">
        <v>70735</v>
      </c>
      <c r="AC87" s="178" t="str">
        <f>IF(OR(M87="13",M87="14",P87=8),"",IF(AND(OR(S87="AUTORIZADO", S87="PENDIENTE", S87="REDUCIDO", S87="AMPLIADO"),L87&lt;&gt;"HONORARIO" ), CONCATENATE(IF(H87="X","H",H87),"_",IF(OR(P87=5,P87=6),_xlfn.CONCAT(P87,"A"),P87),"_",VLOOKUP(T87,Datos!$B$2:$C$5,2,TRUE)),""))</f>
        <v>M_1_[hasta 3]</v>
      </c>
      <c r="AD87" s="178">
        <f t="shared" si="27"/>
        <v>141470</v>
      </c>
      <c r="AE87" s="82" t="str">
        <f t="shared" si="28"/>
        <v>-</v>
      </c>
      <c r="AF87" s="83" t="str">
        <f t="shared" si="29"/>
        <v>070601</v>
      </c>
      <c r="AG87" s="84"/>
      <c r="AH87" s="85" t="str">
        <f t="shared" si="30"/>
        <v>Corporación de Fomento de la Producción</v>
      </c>
      <c r="AI87" s="82" t="str">
        <f t="shared" si="31"/>
        <v>-</v>
      </c>
      <c r="AJ87" s="82">
        <f t="shared" si="32"/>
        <v>5</v>
      </c>
      <c r="AK87" s="82" t="str">
        <f t="shared" si="33"/>
        <v>-</v>
      </c>
      <c r="AL87" s="82" t="str">
        <f t="shared" si="34"/>
        <v>Identifica este registro como MUJER</v>
      </c>
      <c r="AM87" s="82" t="str">
        <f t="shared" si="35"/>
        <v>-</v>
      </c>
      <c r="AN87" s="82" t="str">
        <f t="shared" si="36"/>
        <v>-</v>
      </c>
      <c r="AO87" s="82" t="str">
        <f t="shared" si="37"/>
        <v>-</v>
      </c>
      <c r="AP87" s="57" t="str">
        <f t="shared" si="38"/>
        <v>-</v>
      </c>
      <c r="AQ87" s="86" t="str">
        <f t="shared" si="39"/>
        <v>-</v>
      </c>
      <c r="AR87" s="86" t="str">
        <f>IF(N87="","PRIMER_DIA en blanco",
IF(AND(M87="01",N87&gt;=L_Conversion!$C$118,N87&lt;=L_Conversion!$D$118),"-",
IF(AND(M87="02",N87&gt;=L_Conversion!$C$119,N87&lt;=L_Conversion!$D$119),"-",
IF(AND(M87="03",N87&gt;=L_Conversion!$C$120,N87&lt;=L_Conversion!$D$120),"-",
IF(AND(M87="04",N87&gt;=L_Conversion!$C$121,N87&lt;=L_Conversion!$D$121),"-",
IF(AND(M87="05",N87&gt;=L_Conversion!$C$122,N87&lt;=L_Conversion!$D$122),"-",
IF(AND(M87="06",N87&gt;=L_Conversion!$C$123,N87&lt;=L_Conversion!$D$123),"-",
IF(AND(M87="07",N87&gt;=L_Conversion!$C$124,N87&lt;=L_Conversion!$D$124),"-",
IF(AND(M87="08",N87&gt;=L_Conversion!$C$125,N87&lt;=L_Conversion!$D$125),"-",
IF(AND(M87="09",N87&gt;=L_Conversion!$C$126,N87&lt;=L_Conversion!$D$126),"-",
IF(AND(M87="10",N87&gt;=L_Conversion!$C$127,N87&lt;=L_Conversion!$D$127),"-",
IF(AND(M87="11",N87&gt;=L_Conversion!$C$128,N87&lt;=L_Conversion!$D$128),"-",
IF(AND(M87="12",N87&gt;=L_Conversion!$C$129,N87&lt;=L_Conversion!$D$129),"-",
IF(AND(M87="13",N87&gt;=L_Conversion!$C$116,N87&lt;=L_Conversion!$D$116),"-",
IF(AND(M87="14",N87&gt;=L_Conversion!$C$117,N87&lt;=L_Conversion!$D$117),"-",
"PRIMER_DIA fuera de rango")))))))))))))))</f>
        <v>-</v>
      </c>
      <c r="AS87" s="86" t="str">
        <f t="shared" si="40"/>
        <v>-</v>
      </c>
      <c r="AT87" s="86" t="str">
        <f t="shared" si="41"/>
        <v>-</v>
      </c>
      <c r="AU87" s="86" t="str">
        <f t="shared" si="42"/>
        <v>-</v>
      </c>
      <c r="AV87" s="86" t="str">
        <f t="shared" si="43"/>
        <v>-</v>
      </c>
      <c r="AW87" s="86" t="str">
        <f t="shared" si="44"/>
        <v>-</v>
      </c>
      <c r="AX87" s="86" t="str">
        <f t="shared" si="45"/>
        <v>-</v>
      </c>
      <c r="AY87" s="86" t="str">
        <f t="shared" si="46"/>
        <v>-</v>
      </c>
      <c r="AZ87" s="86" t="str">
        <f t="shared" si="47"/>
        <v>-</v>
      </c>
      <c r="BA87" s="86" t="str">
        <f t="shared" si="48"/>
        <v>-</v>
      </c>
      <c r="BB87" s="86" t="str">
        <f t="shared" si="49"/>
        <v>-</v>
      </c>
      <c r="BC87" s="86" t="str">
        <f t="shared" si="50"/>
        <v>-</v>
      </c>
      <c r="BD87" s="86" t="str">
        <f t="shared" si="51"/>
        <v>-</v>
      </c>
      <c r="BE87" s="86" t="str">
        <f t="shared" si="52"/>
        <v>-</v>
      </c>
      <c r="BF87" s="86" t="str">
        <f t="shared" si="53"/>
        <v>-</v>
      </c>
    </row>
    <row r="88" spans="1:58" x14ac:dyDescent="0.2">
      <c r="A88" s="80" t="s">
        <v>1144</v>
      </c>
      <c r="B88" s="92" t="s">
        <v>76</v>
      </c>
      <c r="C88" s="202">
        <v>13654335</v>
      </c>
      <c r="D88" s="203">
        <v>0</v>
      </c>
      <c r="E88" s="204" t="s">
        <v>1371</v>
      </c>
      <c r="F88" s="204" t="s">
        <v>1372</v>
      </c>
      <c r="G88" s="204" t="s">
        <v>1373</v>
      </c>
      <c r="H88" s="205" t="s">
        <v>1033</v>
      </c>
      <c r="I88" s="205" t="s">
        <v>662</v>
      </c>
      <c r="J88" s="203">
        <v>80</v>
      </c>
      <c r="K88" s="204" t="s">
        <v>563</v>
      </c>
      <c r="L88" s="206" t="s">
        <v>502</v>
      </c>
      <c r="M88" s="210" t="s">
        <v>18</v>
      </c>
      <c r="N88" s="211">
        <v>45679</v>
      </c>
      <c r="O88" s="207">
        <v>3</v>
      </c>
      <c r="P88" s="203">
        <v>1</v>
      </c>
      <c r="Q88" s="205" t="s">
        <v>23</v>
      </c>
      <c r="R88" s="205" t="s">
        <v>11</v>
      </c>
      <c r="S88" s="205" t="s">
        <v>23</v>
      </c>
      <c r="T88" s="207">
        <v>3</v>
      </c>
      <c r="U88" s="208" t="s">
        <v>11</v>
      </c>
      <c r="V88" s="212" t="s">
        <v>19</v>
      </c>
      <c r="W88" s="212" t="s">
        <v>19</v>
      </c>
      <c r="X88" s="209">
        <v>43932</v>
      </c>
      <c r="Y88" s="213" t="s">
        <v>735</v>
      </c>
      <c r="Z88" s="209">
        <v>3</v>
      </c>
      <c r="AA88" s="209">
        <v>43932</v>
      </c>
      <c r="AB88" s="209">
        <v>43932</v>
      </c>
      <c r="AC88" s="178" t="str">
        <f>IF(OR(M88="13",M88="14",P88=8),"",IF(AND(OR(S88="AUTORIZADO", S88="PENDIENTE", S88="REDUCIDO", S88="AMPLIADO"),L88&lt;&gt;"HONORARIO" ), CONCATENATE(IF(H88="X","H",H88),"_",IF(OR(P88=5,P88=6),_xlfn.CONCAT(P88,"A"),P88),"_",VLOOKUP(T88,Datos!$B$2:$C$5,2,TRUE)),""))</f>
        <v>M_1_[hasta 3]</v>
      </c>
      <c r="AD88" s="178">
        <f t="shared" si="27"/>
        <v>87864</v>
      </c>
      <c r="AE88" s="82" t="str">
        <f t="shared" si="28"/>
        <v>-</v>
      </c>
      <c r="AF88" s="83" t="str">
        <f t="shared" si="29"/>
        <v>070601</v>
      </c>
      <c r="AG88" s="84"/>
      <c r="AH88" s="85" t="str">
        <f t="shared" si="30"/>
        <v>Corporación de Fomento de la Producción</v>
      </c>
      <c r="AI88" s="82" t="str">
        <f t="shared" si="31"/>
        <v>-</v>
      </c>
      <c r="AJ88" s="82">
        <f t="shared" si="32"/>
        <v>0</v>
      </c>
      <c r="AK88" s="82" t="str">
        <f t="shared" si="33"/>
        <v>-</v>
      </c>
      <c r="AL88" s="82" t="str">
        <f t="shared" si="34"/>
        <v>Identifica este registro como MUJER</v>
      </c>
      <c r="AM88" s="82" t="str">
        <f t="shared" si="35"/>
        <v>-</v>
      </c>
      <c r="AN88" s="82" t="str">
        <f t="shared" si="36"/>
        <v>-</v>
      </c>
      <c r="AO88" s="82" t="str">
        <f t="shared" si="37"/>
        <v>-</v>
      </c>
      <c r="AP88" s="57" t="str">
        <f t="shared" si="38"/>
        <v>-</v>
      </c>
      <c r="AQ88" s="86" t="str">
        <f t="shared" si="39"/>
        <v>-</v>
      </c>
      <c r="AR88" s="86" t="str">
        <f>IF(N88="","PRIMER_DIA en blanco",
IF(AND(M88="01",N88&gt;=L_Conversion!$C$118,N88&lt;=L_Conversion!$D$118),"-",
IF(AND(M88="02",N88&gt;=L_Conversion!$C$119,N88&lt;=L_Conversion!$D$119),"-",
IF(AND(M88="03",N88&gt;=L_Conversion!$C$120,N88&lt;=L_Conversion!$D$120),"-",
IF(AND(M88="04",N88&gt;=L_Conversion!$C$121,N88&lt;=L_Conversion!$D$121),"-",
IF(AND(M88="05",N88&gt;=L_Conversion!$C$122,N88&lt;=L_Conversion!$D$122),"-",
IF(AND(M88="06",N88&gt;=L_Conversion!$C$123,N88&lt;=L_Conversion!$D$123),"-",
IF(AND(M88="07",N88&gt;=L_Conversion!$C$124,N88&lt;=L_Conversion!$D$124),"-",
IF(AND(M88="08",N88&gt;=L_Conversion!$C$125,N88&lt;=L_Conversion!$D$125),"-",
IF(AND(M88="09",N88&gt;=L_Conversion!$C$126,N88&lt;=L_Conversion!$D$126),"-",
IF(AND(M88="10",N88&gt;=L_Conversion!$C$127,N88&lt;=L_Conversion!$D$127),"-",
IF(AND(M88="11",N88&gt;=L_Conversion!$C$128,N88&lt;=L_Conversion!$D$128),"-",
IF(AND(M88="12",N88&gt;=L_Conversion!$C$129,N88&lt;=L_Conversion!$D$129),"-",
IF(AND(M88="13",N88&gt;=L_Conversion!$C$116,N88&lt;=L_Conversion!$D$116),"-",
IF(AND(M88="14",N88&gt;=L_Conversion!$C$117,N88&lt;=L_Conversion!$D$117),"-",
"PRIMER_DIA fuera de rango")))))))))))))))</f>
        <v>-</v>
      </c>
      <c r="AS88" s="86" t="str">
        <f t="shared" si="40"/>
        <v>-</v>
      </c>
      <c r="AT88" s="86" t="str">
        <f t="shared" si="41"/>
        <v>-</v>
      </c>
      <c r="AU88" s="86" t="str">
        <f t="shared" si="42"/>
        <v>-</v>
      </c>
      <c r="AV88" s="86" t="str">
        <f t="shared" si="43"/>
        <v>-</v>
      </c>
      <c r="AW88" s="86" t="str">
        <f t="shared" si="44"/>
        <v>-</v>
      </c>
      <c r="AX88" s="86" t="str">
        <f t="shared" si="45"/>
        <v>-</v>
      </c>
      <c r="AY88" s="86" t="str">
        <f t="shared" si="46"/>
        <v>-</v>
      </c>
      <c r="AZ88" s="86" t="str">
        <f t="shared" si="47"/>
        <v>-</v>
      </c>
      <c r="BA88" s="86" t="str">
        <f t="shared" si="48"/>
        <v>-</v>
      </c>
      <c r="BB88" s="86" t="str">
        <f t="shared" si="49"/>
        <v>-</v>
      </c>
      <c r="BC88" s="86" t="str">
        <f t="shared" si="50"/>
        <v>-</v>
      </c>
      <c r="BD88" s="86" t="str">
        <f t="shared" si="51"/>
        <v>-</v>
      </c>
      <c r="BE88" s="86" t="str">
        <f t="shared" si="52"/>
        <v>-</v>
      </c>
      <c r="BF88" s="86" t="str">
        <f t="shared" si="53"/>
        <v>-</v>
      </c>
    </row>
    <row r="89" spans="1:58" x14ac:dyDescent="0.2">
      <c r="A89" s="80" t="s">
        <v>1144</v>
      </c>
      <c r="B89" s="92" t="s">
        <v>76</v>
      </c>
      <c r="C89" s="202">
        <v>17492582</v>
      </c>
      <c r="D89" s="203">
        <v>8</v>
      </c>
      <c r="E89" s="204" t="s">
        <v>1374</v>
      </c>
      <c r="F89" s="204" t="s">
        <v>1197</v>
      </c>
      <c r="G89" s="204" t="s">
        <v>1375</v>
      </c>
      <c r="H89" s="205" t="s">
        <v>1033</v>
      </c>
      <c r="I89" s="205" t="s">
        <v>663</v>
      </c>
      <c r="J89" s="203">
        <v>80</v>
      </c>
      <c r="K89" s="204" t="s">
        <v>563</v>
      </c>
      <c r="L89" s="206" t="s">
        <v>516</v>
      </c>
      <c r="M89" s="210" t="s">
        <v>18</v>
      </c>
      <c r="N89" s="211">
        <v>45679</v>
      </c>
      <c r="O89" s="207">
        <v>3</v>
      </c>
      <c r="P89" s="203">
        <v>1</v>
      </c>
      <c r="Q89" s="205" t="s">
        <v>23</v>
      </c>
      <c r="R89" s="205" t="s">
        <v>11</v>
      </c>
      <c r="S89" s="205" t="s">
        <v>23</v>
      </c>
      <c r="T89" s="207">
        <v>3</v>
      </c>
      <c r="U89" s="208" t="s">
        <v>11</v>
      </c>
      <c r="V89" s="212" t="s">
        <v>19</v>
      </c>
      <c r="W89" s="212" t="s">
        <v>19</v>
      </c>
      <c r="X89" s="209">
        <v>63337</v>
      </c>
      <c r="Y89" s="213" t="s">
        <v>735</v>
      </c>
      <c r="Z89" s="209">
        <v>3</v>
      </c>
      <c r="AA89" s="209">
        <v>63337</v>
      </c>
      <c r="AB89" s="209">
        <v>63337</v>
      </c>
      <c r="AC89" s="178" t="str">
        <f>IF(OR(M89="13",M89="14",P89=8),"",IF(AND(OR(S89="AUTORIZADO", S89="PENDIENTE", S89="REDUCIDO", S89="AMPLIADO"),L89&lt;&gt;"HONORARIO" ), CONCATENATE(IF(H89="X","H",H89),"_",IF(OR(P89=5,P89=6),_xlfn.CONCAT(P89,"A"),P89),"_",VLOOKUP(T89,Datos!$B$2:$C$5,2,TRUE)),""))</f>
        <v>M_1_[hasta 3]</v>
      </c>
      <c r="AD89" s="178">
        <f t="shared" si="27"/>
        <v>126674</v>
      </c>
      <c r="AE89" s="82" t="str">
        <f t="shared" si="28"/>
        <v>-</v>
      </c>
      <c r="AF89" s="83" t="str">
        <f t="shared" si="29"/>
        <v>070601</v>
      </c>
      <c r="AG89" s="84"/>
      <c r="AH89" s="85" t="str">
        <f t="shared" si="30"/>
        <v>Corporación de Fomento de la Producción</v>
      </c>
      <c r="AI89" s="82" t="str">
        <f t="shared" si="31"/>
        <v>-</v>
      </c>
      <c r="AJ89" s="82">
        <f t="shared" si="32"/>
        <v>8</v>
      </c>
      <c r="AK89" s="82" t="str">
        <f t="shared" si="33"/>
        <v>-</v>
      </c>
      <c r="AL89" s="82" t="str">
        <f t="shared" si="34"/>
        <v>Identifica este registro como MUJER</v>
      </c>
      <c r="AM89" s="82" t="str">
        <f t="shared" si="35"/>
        <v>-</v>
      </c>
      <c r="AN89" s="82" t="str">
        <f t="shared" si="36"/>
        <v>-</v>
      </c>
      <c r="AO89" s="82" t="str">
        <f t="shared" si="37"/>
        <v>-</v>
      </c>
      <c r="AP89" s="57" t="str">
        <f t="shared" si="38"/>
        <v>-</v>
      </c>
      <c r="AQ89" s="86" t="str">
        <f t="shared" si="39"/>
        <v>-</v>
      </c>
      <c r="AR89" s="86" t="str">
        <f>IF(N89="","PRIMER_DIA en blanco",
IF(AND(M89="01",N89&gt;=L_Conversion!$C$118,N89&lt;=L_Conversion!$D$118),"-",
IF(AND(M89="02",N89&gt;=L_Conversion!$C$119,N89&lt;=L_Conversion!$D$119),"-",
IF(AND(M89="03",N89&gt;=L_Conversion!$C$120,N89&lt;=L_Conversion!$D$120),"-",
IF(AND(M89="04",N89&gt;=L_Conversion!$C$121,N89&lt;=L_Conversion!$D$121),"-",
IF(AND(M89="05",N89&gt;=L_Conversion!$C$122,N89&lt;=L_Conversion!$D$122),"-",
IF(AND(M89="06",N89&gt;=L_Conversion!$C$123,N89&lt;=L_Conversion!$D$123),"-",
IF(AND(M89="07",N89&gt;=L_Conversion!$C$124,N89&lt;=L_Conversion!$D$124),"-",
IF(AND(M89="08",N89&gt;=L_Conversion!$C$125,N89&lt;=L_Conversion!$D$125),"-",
IF(AND(M89="09",N89&gt;=L_Conversion!$C$126,N89&lt;=L_Conversion!$D$126),"-",
IF(AND(M89="10",N89&gt;=L_Conversion!$C$127,N89&lt;=L_Conversion!$D$127),"-",
IF(AND(M89="11",N89&gt;=L_Conversion!$C$128,N89&lt;=L_Conversion!$D$128),"-",
IF(AND(M89="12",N89&gt;=L_Conversion!$C$129,N89&lt;=L_Conversion!$D$129),"-",
IF(AND(M89="13",N89&gt;=L_Conversion!$C$116,N89&lt;=L_Conversion!$D$116),"-",
IF(AND(M89="14",N89&gt;=L_Conversion!$C$117,N89&lt;=L_Conversion!$D$117),"-",
"PRIMER_DIA fuera de rango")))))))))))))))</f>
        <v>-</v>
      </c>
      <c r="AS89" s="86" t="str">
        <f t="shared" si="40"/>
        <v>-</v>
      </c>
      <c r="AT89" s="86" t="str">
        <f t="shared" si="41"/>
        <v>-</v>
      </c>
      <c r="AU89" s="86" t="str">
        <f t="shared" si="42"/>
        <v>-</v>
      </c>
      <c r="AV89" s="86" t="str">
        <f t="shared" si="43"/>
        <v>-</v>
      </c>
      <c r="AW89" s="86" t="str">
        <f t="shared" si="44"/>
        <v>-</v>
      </c>
      <c r="AX89" s="86" t="str">
        <f t="shared" si="45"/>
        <v>-</v>
      </c>
      <c r="AY89" s="86" t="str">
        <f t="shared" si="46"/>
        <v>-</v>
      </c>
      <c r="AZ89" s="86" t="str">
        <f t="shared" si="47"/>
        <v>-</v>
      </c>
      <c r="BA89" s="86" t="str">
        <f t="shared" si="48"/>
        <v>-</v>
      </c>
      <c r="BB89" s="86" t="str">
        <f t="shared" si="49"/>
        <v>-</v>
      </c>
      <c r="BC89" s="86" t="str">
        <f t="shared" si="50"/>
        <v>-</v>
      </c>
      <c r="BD89" s="86" t="str">
        <f t="shared" si="51"/>
        <v>-</v>
      </c>
      <c r="BE89" s="86" t="str">
        <f t="shared" si="52"/>
        <v>-</v>
      </c>
      <c r="BF89" s="86" t="str">
        <f t="shared" si="53"/>
        <v>-</v>
      </c>
    </row>
    <row r="90" spans="1:58" x14ac:dyDescent="0.2">
      <c r="A90" s="80" t="s">
        <v>1144</v>
      </c>
      <c r="B90" s="92" t="s">
        <v>76</v>
      </c>
      <c r="C90" s="202">
        <v>16790168</v>
      </c>
      <c r="D90" s="203">
        <v>9</v>
      </c>
      <c r="E90" s="204" t="s">
        <v>1172</v>
      </c>
      <c r="F90" s="204" t="s">
        <v>1174</v>
      </c>
      <c r="G90" s="204" t="s">
        <v>1376</v>
      </c>
      <c r="H90" s="205" t="s">
        <v>663</v>
      </c>
      <c r="I90" s="205" t="s">
        <v>662</v>
      </c>
      <c r="J90" s="203">
        <v>80</v>
      </c>
      <c r="K90" s="204" t="s">
        <v>563</v>
      </c>
      <c r="L90" s="206" t="s">
        <v>502</v>
      </c>
      <c r="M90" s="210" t="s">
        <v>18</v>
      </c>
      <c r="N90" s="211">
        <v>45679</v>
      </c>
      <c r="O90" s="207">
        <v>3</v>
      </c>
      <c r="P90" s="203">
        <v>1</v>
      </c>
      <c r="Q90" s="205" t="s">
        <v>23</v>
      </c>
      <c r="R90" s="205" t="s">
        <v>11</v>
      </c>
      <c r="S90" s="205" t="s">
        <v>23</v>
      </c>
      <c r="T90" s="207">
        <v>3</v>
      </c>
      <c r="U90" s="208" t="s">
        <v>11</v>
      </c>
      <c r="V90" s="212" t="s">
        <v>19</v>
      </c>
      <c r="W90" s="212" t="s">
        <v>19</v>
      </c>
      <c r="X90" s="209">
        <v>60374</v>
      </c>
      <c r="Y90" s="213" t="s">
        <v>735</v>
      </c>
      <c r="Z90" s="209">
        <v>3</v>
      </c>
      <c r="AA90" s="209">
        <v>60374</v>
      </c>
      <c r="AB90" s="209">
        <v>60374</v>
      </c>
      <c r="AC90" s="178" t="str">
        <f>IF(OR(M90="13",M90="14",P90=8),"",IF(AND(OR(S90="AUTORIZADO", S90="PENDIENTE", S90="REDUCIDO", S90="AMPLIADO"),L90&lt;&gt;"HONORARIO" ), CONCATENATE(IF(H90="X","H",H90),"_",IF(OR(P90=5,P90=6),_xlfn.CONCAT(P90,"A"),P90),"_",VLOOKUP(T90,Datos!$B$2:$C$5,2,TRUE)),""))</f>
        <v>H_1_[hasta 3]</v>
      </c>
      <c r="AD90" s="178">
        <f t="shared" si="27"/>
        <v>120748</v>
      </c>
      <c r="AE90" s="82" t="str">
        <f t="shared" si="28"/>
        <v>-</v>
      </c>
      <c r="AF90" s="83" t="str">
        <f t="shared" si="29"/>
        <v>070601</v>
      </c>
      <c r="AG90" s="84"/>
      <c r="AH90" s="85" t="str">
        <f t="shared" si="30"/>
        <v>Corporación de Fomento de la Producción</v>
      </c>
      <c r="AI90" s="82" t="str">
        <f t="shared" si="31"/>
        <v>-</v>
      </c>
      <c r="AJ90" s="82">
        <f t="shared" si="32"/>
        <v>9</v>
      </c>
      <c r="AK90" s="82" t="str">
        <f t="shared" si="33"/>
        <v>-</v>
      </c>
      <c r="AL90" s="82" t="str">
        <f t="shared" si="34"/>
        <v>Identifica este registro como HOMBRE</v>
      </c>
      <c r="AM90" s="82" t="str">
        <f t="shared" si="35"/>
        <v>-</v>
      </c>
      <c r="AN90" s="82" t="str">
        <f t="shared" si="36"/>
        <v>-</v>
      </c>
      <c r="AO90" s="82" t="str">
        <f t="shared" si="37"/>
        <v>-</v>
      </c>
      <c r="AP90" s="57" t="str">
        <f t="shared" si="38"/>
        <v>-</v>
      </c>
      <c r="AQ90" s="86" t="str">
        <f t="shared" si="39"/>
        <v>-</v>
      </c>
      <c r="AR90" s="86" t="str">
        <f>IF(N90="","PRIMER_DIA en blanco",
IF(AND(M90="01",N90&gt;=L_Conversion!$C$118,N90&lt;=L_Conversion!$D$118),"-",
IF(AND(M90="02",N90&gt;=L_Conversion!$C$119,N90&lt;=L_Conversion!$D$119),"-",
IF(AND(M90="03",N90&gt;=L_Conversion!$C$120,N90&lt;=L_Conversion!$D$120),"-",
IF(AND(M90="04",N90&gt;=L_Conversion!$C$121,N90&lt;=L_Conversion!$D$121),"-",
IF(AND(M90="05",N90&gt;=L_Conversion!$C$122,N90&lt;=L_Conversion!$D$122),"-",
IF(AND(M90="06",N90&gt;=L_Conversion!$C$123,N90&lt;=L_Conversion!$D$123),"-",
IF(AND(M90="07",N90&gt;=L_Conversion!$C$124,N90&lt;=L_Conversion!$D$124),"-",
IF(AND(M90="08",N90&gt;=L_Conversion!$C$125,N90&lt;=L_Conversion!$D$125),"-",
IF(AND(M90="09",N90&gt;=L_Conversion!$C$126,N90&lt;=L_Conversion!$D$126),"-",
IF(AND(M90="10",N90&gt;=L_Conversion!$C$127,N90&lt;=L_Conversion!$D$127),"-",
IF(AND(M90="11",N90&gt;=L_Conversion!$C$128,N90&lt;=L_Conversion!$D$128),"-",
IF(AND(M90="12",N90&gt;=L_Conversion!$C$129,N90&lt;=L_Conversion!$D$129),"-",
IF(AND(M90="13",N90&gt;=L_Conversion!$C$116,N90&lt;=L_Conversion!$D$116),"-",
IF(AND(M90="14",N90&gt;=L_Conversion!$C$117,N90&lt;=L_Conversion!$D$117),"-",
"PRIMER_DIA fuera de rango")))))))))))))))</f>
        <v>-</v>
      </c>
      <c r="AS90" s="86" t="str">
        <f t="shared" si="40"/>
        <v>-</v>
      </c>
      <c r="AT90" s="86" t="str">
        <f t="shared" si="41"/>
        <v>-</v>
      </c>
      <c r="AU90" s="86" t="str">
        <f t="shared" si="42"/>
        <v>-</v>
      </c>
      <c r="AV90" s="86" t="str">
        <f t="shared" si="43"/>
        <v>-</v>
      </c>
      <c r="AW90" s="86" t="str">
        <f t="shared" si="44"/>
        <v>-</v>
      </c>
      <c r="AX90" s="86" t="str">
        <f t="shared" si="45"/>
        <v>-</v>
      </c>
      <c r="AY90" s="86" t="str">
        <f t="shared" si="46"/>
        <v>-</v>
      </c>
      <c r="AZ90" s="86" t="str">
        <f t="shared" si="47"/>
        <v>-</v>
      </c>
      <c r="BA90" s="86" t="str">
        <f t="shared" si="48"/>
        <v>-</v>
      </c>
      <c r="BB90" s="86" t="str">
        <f t="shared" si="49"/>
        <v>-</v>
      </c>
      <c r="BC90" s="86" t="str">
        <f t="shared" si="50"/>
        <v>-</v>
      </c>
      <c r="BD90" s="86" t="str">
        <f t="shared" si="51"/>
        <v>-</v>
      </c>
      <c r="BE90" s="86" t="str">
        <f t="shared" si="52"/>
        <v>-</v>
      </c>
      <c r="BF90" s="86" t="str">
        <f t="shared" si="53"/>
        <v>-</v>
      </c>
    </row>
    <row r="91" spans="1:58" x14ac:dyDescent="0.2">
      <c r="A91" s="80" t="s">
        <v>1144</v>
      </c>
      <c r="B91" s="92" t="s">
        <v>76</v>
      </c>
      <c r="C91" s="202">
        <v>14181138</v>
      </c>
      <c r="D91" s="203" t="s">
        <v>1151</v>
      </c>
      <c r="E91" s="204" t="s">
        <v>1377</v>
      </c>
      <c r="F91" s="204" t="s">
        <v>1378</v>
      </c>
      <c r="G91" s="204" t="s">
        <v>1200</v>
      </c>
      <c r="H91" s="205" t="s">
        <v>663</v>
      </c>
      <c r="I91" s="205" t="s">
        <v>662</v>
      </c>
      <c r="J91" s="203">
        <v>80</v>
      </c>
      <c r="K91" s="204" t="s">
        <v>561</v>
      </c>
      <c r="L91" s="206" t="s">
        <v>502</v>
      </c>
      <c r="M91" s="210" t="s">
        <v>18</v>
      </c>
      <c r="N91" s="211">
        <v>45679</v>
      </c>
      <c r="O91" s="207">
        <v>15</v>
      </c>
      <c r="P91" s="203">
        <v>1</v>
      </c>
      <c r="Q91" s="205" t="s">
        <v>23</v>
      </c>
      <c r="R91" s="205" t="s">
        <v>11</v>
      </c>
      <c r="S91" s="205" t="s">
        <v>23</v>
      </c>
      <c r="T91" s="207">
        <v>15</v>
      </c>
      <c r="U91" s="208" t="s">
        <v>11</v>
      </c>
      <c r="V91" s="212" t="s">
        <v>11</v>
      </c>
      <c r="W91" s="212" t="s">
        <v>19</v>
      </c>
      <c r="X91" s="209">
        <v>1570681</v>
      </c>
      <c r="Y91" s="213" t="s">
        <v>735</v>
      </c>
      <c r="Z91" s="209">
        <v>15</v>
      </c>
      <c r="AA91" s="209">
        <v>1570681</v>
      </c>
      <c r="AB91" s="209">
        <v>1570681</v>
      </c>
      <c r="AC91" s="178" t="str">
        <f>IF(OR(M91="13",M91="14",P91=8),"",IF(AND(OR(S91="AUTORIZADO", S91="PENDIENTE", S91="REDUCIDO", S91="AMPLIADO"),L91&lt;&gt;"HONORARIO" ), CONCATENATE(IF(H91="X","H",H91),"_",IF(OR(P91=5,P91=6),_xlfn.CONCAT(P91,"A"),P91),"_",VLOOKUP(T91,Datos!$B$2:$C$5,2,TRUE)),""))</f>
        <v>H_1_[11 +]</v>
      </c>
      <c r="AD91" s="178">
        <f t="shared" si="27"/>
        <v>3141362</v>
      </c>
      <c r="AE91" s="82" t="str">
        <f t="shared" si="28"/>
        <v>-</v>
      </c>
      <c r="AF91" s="83" t="str">
        <f t="shared" si="29"/>
        <v>070601</v>
      </c>
      <c r="AG91" s="84"/>
      <c r="AH91" s="85" t="str">
        <f t="shared" si="30"/>
        <v>Corporación de Fomento de la Producción</v>
      </c>
      <c r="AI91" s="82" t="str">
        <f t="shared" si="31"/>
        <v>-</v>
      </c>
      <c r="AJ91" s="82" t="str">
        <f t="shared" si="32"/>
        <v>K</v>
      </c>
      <c r="AK91" s="82" t="str">
        <f t="shared" si="33"/>
        <v>-</v>
      </c>
      <c r="AL91" s="82" t="str">
        <f t="shared" si="34"/>
        <v>Identifica este registro como HOMBRE</v>
      </c>
      <c r="AM91" s="82" t="str">
        <f t="shared" si="35"/>
        <v>-</v>
      </c>
      <c r="AN91" s="82" t="str">
        <f t="shared" si="36"/>
        <v>-</v>
      </c>
      <c r="AO91" s="82" t="str">
        <f t="shared" si="37"/>
        <v>-</v>
      </c>
      <c r="AP91" s="57" t="str">
        <f t="shared" si="38"/>
        <v>-</v>
      </c>
      <c r="AQ91" s="86" t="str">
        <f t="shared" si="39"/>
        <v>-</v>
      </c>
      <c r="AR91" s="86" t="str">
        <f>IF(N91="","PRIMER_DIA en blanco",
IF(AND(M91="01",N91&gt;=L_Conversion!$C$118,N91&lt;=L_Conversion!$D$118),"-",
IF(AND(M91="02",N91&gt;=L_Conversion!$C$119,N91&lt;=L_Conversion!$D$119),"-",
IF(AND(M91="03",N91&gt;=L_Conversion!$C$120,N91&lt;=L_Conversion!$D$120),"-",
IF(AND(M91="04",N91&gt;=L_Conversion!$C$121,N91&lt;=L_Conversion!$D$121),"-",
IF(AND(M91="05",N91&gt;=L_Conversion!$C$122,N91&lt;=L_Conversion!$D$122),"-",
IF(AND(M91="06",N91&gt;=L_Conversion!$C$123,N91&lt;=L_Conversion!$D$123),"-",
IF(AND(M91="07",N91&gt;=L_Conversion!$C$124,N91&lt;=L_Conversion!$D$124),"-",
IF(AND(M91="08",N91&gt;=L_Conversion!$C$125,N91&lt;=L_Conversion!$D$125),"-",
IF(AND(M91="09",N91&gt;=L_Conversion!$C$126,N91&lt;=L_Conversion!$D$126),"-",
IF(AND(M91="10",N91&gt;=L_Conversion!$C$127,N91&lt;=L_Conversion!$D$127),"-",
IF(AND(M91="11",N91&gt;=L_Conversion!$C$128,N91&lt;=L_Conversion!$D$128),"-",
IF(AND(M91="12",N91&gt;=L_Conversion!$C$129,N91&lt;=L_Conversion!$D$129),"-",
IF(AND(M91="13",N91&gt;=L_Conversion!$C$116,N91&lt;=L_Conversion!$D$116),"-",
IF(AND(M91="14",N91&gt;=L_Conversion!$C$117,N91&lt;=L_Conversion!$D$117),"-",
"PRIMER_DIA fuera de rango")))))))))))))))</f>
        <v>-</v>
      </c>
      <c r="AS91" s="86" t="str">
        <f t="shared" si="40"/>
        <v>-</v>
      </c>
      <c r="AT91" s="86" t="str">
        <f t="shared" si="41"/>
        <v>-</v>
      </c>
      <c r="AU91" s="86" t="str">
        <f t="shared" si="42"/>
        <v>-</v>
      </c>
      <c r="AV91" s="86" t="str">
        <f t="shared" si="43"/>
        <v>-</v>
      </c>
      <c r="AW91" s="86" t="str">
        <f t="shared" si="44"/>
        <v>-</v>
      </c>
      <c r="AX91" s="86" t="str">
        <f t="shared" si="45"/>
        <v>-</v>
      </c>
      <c r="AY91" s="86" t="str">
        <f t="shared" si="46"/>
        <v>-</v>
      </c>
      <c r="AZ91" s="86" t="str">
        <f t="shared" si="47"/>
        <v>-</v>
      </c>
      <c r="BA91" s="86" t="str">
        <f t="shared" si="48"/>
        <v>-</v>
      </c>
      <c r="BB91" s="86" t="str">
        <f t="shared" si="49"/>
        <v>-</v>
      </c>
      <c r="BC91" s="86" t="str">
        <f t="shared" si="50"/>
        <v>-</v>
      </c>
      <c r="BD91" s="86" t="str">
        <f t="shared" si="51"/>
        <v>-</v>
      </c>
      <c r="BE91" s="86" t="str">
        <f t="shared" si="52"/>
        <v>-</v>
      </c>
      <c r="BF91" s="86" t="str">
        <f t="shared" si="53"/>
        <v>-</v>
      </c>
    </row>
    <row r="92" spans="1:58" x14ac:dyDescent="0.2">
      <c r="A92" s="80" t="s">
        <v>1144</v>
      </c>
      <c r="B92" s="92" t="s">
        <v>76</v>
      </c>
      <c r="C92" s="202">
        <v>14178887</v>
      </c>
      <c r="D92" s="203">
        <v>6</v>
      </c>
      <c r="E92" s="204" t="s">
        <v>1162</v>
      </c>
      <c r="F92" s="204" t="s">
        <v>1379</v>
      </c>
      <c r="G92" s="204" t="s">
        <v>1380</v>
      </c>
      <c r="H92" s="205" t="s">
        <v>1033</v>
      </c>
      <c r="I92" s="205" t="s">
        <v>662</v>
      </c>
      <c r="J92" s="203">
        <v>60</v>
      </c>
      <c r="K92" s="204" t="s">
        <v>561</v>
      </c>
      <c r="L92" s="206" t="s">
        <v>497</v>
      </c>
      <c r="M92" s="210" t="s">
        <v>18</v>
      </c>
      <c r="N92" s="211">
        <v>45679</v>
      </c>
      <c r="O92" s="207">
        <v>3</v>
      </c>
      <c r="P92" s="203">
        <v>1</v>
      </c>
      <c r="Q92" s="205" t="s">
        <v>23</v>
      </c>
      <c r="R92" s="205" t="s">
        <v>11</v>
      </c>
      <c r="S92" s="205" t="s">
        <v>23</v>
      </c>
      <c r="T92" s="207">
        <v>3</v>
      </c>
      <c r="U92" s="208" t="s">
        <v>11</v>
      </c>
      <c r="V92" s="212" t="s">
        <v>19</v>
      </c>
      <c r="W92" s="212" t="s">
        <v>19</v>
      </c>
      <c r="X92" s="209">
        <v>59719</v>
      </c>
      <c r="Y92" s="213" t="s">
        <v>735</v>
      </c>
      <c r="Z92" s="209">
        <v>3</v>
      </c>
      <c r="AA92" s="209">
        <v>59719</v>
      </c>
      <c r="AB92" s="209">
        <v>59719</v>
      </c>
      <c r="AC92" s="178" t="str">
        <f>IF(OR(M92="13",M92="14",P92=8),"",IF(AND(OR(S92="AUTORIZADO", S92="PENDIENTE", S92="REDUCIDO", S92="AMPLIADO"),L92&lt;&gt;"HONORARIO" ), CONCATENATE(IF(H92="X","H",H92),"_",IF(OR(P92=5,P92=6),_xlfn.CONCAT(P92,"A"),P92),"_",VLOOKUP(T92,Datos!$B$2:$C$5,2,TRUE)),""))</f>
        <v>M_1_[hasta 3]</v>
      </c>
      <c r="AD92" s="178">
        <f t="shared" si="27"/>
        <v>119438</v>
      </c>
      <c r="AE92" s="82" t="str">
        <f t="shared" si="28"/>
        <v>-</v>
      </c>
      <c r="AF92" s="83" t="str">
        <f t="shared" si="29"/>
        <v>070601</v>
      </c>
      <c r="AG92" s="84"/>
      <c r="AH92" s="85" t="str">
        <f t="shared" si="30"/>
        <v>Corporación de Fomento de la Producción</v>
      </c>
      <c r="AI92" s="82" t="str">
        <f t="shared" si="31"/>
        <v>-</v>
      </c>
      <c r="AJ92" s="82">
        <f t="shared" si="32"/>
        <v>6</v>
      </c>
      <c r="AK92" s="82" t="str">
        <f t="shared" si="33"/>
        <v>-</v>
      </c>
      <c r="AL92" s="82" t="str">
        <f t="shared" si="34"/>
        <v>Identifica este registro como MUJER</v>
      </c>
      <c r="AM92" s="82" t="str">
        <f t="shared" si="35"/>
        <v>-</v>
      </c>
      <c r="AN92" s="82" t="str">
        <f t="shared" si="36"/>
        <v>-</v>
      </c>
      <c r="AO92" s="82" t="str">
        <f t="shared" si="37"/>
        <v>-</v>
      </c>
      <c r="AP92" s="57" t="str">
        <f t="shared" si="38"/>
        <v>-</v>
      </c>
      <c r="AQ92" s="86" t="str">
        <f t="shared" si="39"/>
        <v>-</v>
      </c>
      <c r="AR92" s="86" t="str">
        <f>IF(N92="","PRIMER_DIA en blanco",
IF(AND(M92="01",N92&gt;=L_Conversion!$C$118,N92&lt;=L_Conversion!$D$118),"-",
IF(AND(M92="02",N92&gt;=L_Conversion!$C$119,N92&lt;=L_Conversion!$D$119),"-",
IF(AND(M92="03",N92&gt;=L_Conversion!$C$120,N92&lt;=L_Conversion!$D$120),"-",
IF(AND(M92="04",N92&gt;=L_Conversion!$C$121,N92&lt;=L_Conversion!$D$121),"-",
IF(AND(M92="05",N92&gt;=L_Conversion!$C$122,N92&lt;=L_Conversion!$D$122),"-",
IF(AND(M92="06",N92&gt;=L_Conversion!$C$123,N92&lt;=L_Conversion!$D$123),"-",
IF(AND(M92="07",N92&gt;=L_Conversion!$C$124,N92&lt;=L_Conversion!$D$124),"-",
IF(AND(M92="08",N92&gt;=L_Conversion!$C$125,N92&lt;=L_Conversion!$D$125),"-",
IF(AND(M92="09",N92&gt;=L_Conversion!$C$126,N92&lt;=L_Conversion!$D$126),"-",
IF(AND(M92="10",N92&gt;=L_Conversion!$C$127,N92&lt;=L_Conversion!$D$127),"-",
IF(AND(M92="11",N92&gt;=L_Conversion!$C$128,N92&lt;=L_Conversion!$D$128),"-",
IF(AND(M92="12",N92&gt;=L_Conversion!$C$129,N92&lt;=L_Conversion!$D$129),"-",
IF(AND(M92="13",N92&gt;=L_Conversion!$C$116,N92&lt;=L_Conversion!$D$116),"-",
IF(AND(M92="14",N92&gt;=L_Conversion!$C$117,N92&lt;=L_Conversion!$D$117),"-",
"PRIMER_DIA fuera de rango")))))))))))))))</f>
        <v>-</v>
      </c>
      <c r="AS92" s="86" t="str">
        <f t="shared" si="40"/>
        <v>-</v>
      </c>
      <c r="AT92" s="86" t="str">
        <f t="shared" si="41"/>
        <v>-</v>
      </c>
      <c r="AU92" s="86" t="str">
        <f t="shared" si="42"/>
        <v>-</v>
      </c>
      <c r="AV92" s="86" t="str">
        <f t="shared" si="43"/>
        <v>-</v>
      </c>
      <c r="AW92" s="86" t="str">
        <f t="shared" si="44"/>
        <v>-</v>
      </c>
      <c r="AX92" s="86" t="str">
        <f t="shared" si="45"/>
        <v>-</v>
      </c>
      <c r="AY92" s="86" t="str">
        <f t="shared" si="46"/>
        <v>-</v>
      </c>
      <c r="AZ92" s="86" t="str">
        <f t="shared" si="47"/>
        <v>-</v>
      </c>
      <c r="BA92" s="86" t="str">
        <f t="shared" si="48"/>
        <v>-</v>
      </c>
      <c r="BB92" s="86" t="str">
        <f t="shared" si="49"/>
        <v>-</v>
      </c>
      <c r="BC92" s="86" t="str">
        <f t="shared" si="50"/>
        <v>-</v>
      </c>
      <c r="BD92" s="86" t="str">
        <f t="shared" si="51"/>
        <v>-</v>
      </c>
      <c r="BE92" s="86" t="str">
        <f t="shared" si="52"/>
        <v>-</v>
      </c>
      <c r="BF92" s="86" t="str">
        <f t="shared" si="53"/>
        <v>-</v>
      </c>
    </row>
    <row r="93" spans="1:58" x14ac:dyDescent="0.2">
      <c r="A93" s="80" t="s">
        <v>1144</v>
      </c>
      <c r="B93" s="92" t="s">
        <v>76</v>
      </c>
      <c r="C93" s="202">
        <v>18693838</v>
      </c>
      <c r="D93" s="203">
        <v>0</v>
      </c>
      <c r="E93" s="204" t="s">
        <v>1182</v>
      </c>
      <c r="F93" s="204" t="s">
        <v>1381</v>
      </c>
      <c r="G93" s="204" t="s">
        <v>1382</v>
      </c>
      <c r="H93" s="205" t="s">
        <v>1033</v>
      </c>
      <c r="I93" s="205" t="s">
        <v>662</v>
      </c>
      <c r="J93" s="203">
        <v>80</v>
      </c>
      <c r="K93" s="204" t="s">
        <v>563</v>
      </c>
      <c r="L93" s="206" t="s">
        <v>502</v>
      </c>
      <c r="M93" s="210" t="s">
        <v>18</v>
      </c>
      <c r="N93" s="211">
        <v>45679</v>
      </c>
      <c r="O93" s="207">
        <v>2</v>
      </c>
      <c r="P93" s="203">
        <v>1</v>
      </c>
      <c r="Q93" s="205" t="s">
        <v>23</v>
      </c>
      <c r="R93" s="205" t="s">
        <v>11</v>
      </c>
      <c r="S93" s="205" t="s">
        <v>23</v>
      </c>
      <c r="T93" s="207">
        <v>2</v>
      </c>
      <c r="U93" s="208" t="s">
        <v>11</v>
      </c>
      <c r="V93" s="212" t="s">
        <v>19</v>
      </c>
      <c r="W93" s="212" t="s">
        <v>19</v>
      </c>
      <c r="X93" s="209">
        <v>27248</v>
      </c>
      <c r="Y93" s="213" t="s">
        <v>735</v>
      </c>
      <c r="Z93" s="209">
        <v>2</v>
      </c>
      <c r="AA93" s="209">
        <v>27248</v>
      </c>
      <c r="AB93" s="209">
        <v>27248</v>
      </c>
      <c r="AC93" s="178" t="str">
        <f>IF(OR(M93="13",M93="14",P93=8),"",IF(AND(OR(S93="AUTORIZADO", S93="PENDIENTE", S93="REDUCIDO", S93="AMPLIADO"),L93&lt;&gt;"HONORARIO" ), CONCATENATE(IF(H93="X","H",H93),"_",IF(OR(P93=5,P93=6),_xlfn.CONCAT(P93,"A"),P93),"_",VLOOKUP(T93,Datos!$B$2:$C$5,2,TRUE)),""))</f>
        <v>M_1_[hasta 3]</v>
      </c>
      <c r="AD93" s="178">
        <f t="shared" si="27"/>
        <v>54496</v>
      </c>
      <c r="AE93" s="82" t="str">
        <f t="shared" si="28"/>
        <v>-</v>
      </c>
      <c r="AF93" s="83" t="str">
        <f t="shared" si="29"/>
        <v>070601</v>
      </c>
      <c r="AG93" s="84"/>
      <c r="AH93" s="85" t="str">
        <f t="shared" si="30"/>
        <v>Corporación de Fomento de la Producción</v>
      </c>
      <c r="AI93" s="82" t="str">
        <f t="shared" si="31"/>
        <v>-</v>
      </c>
      <c r="AJ93" s="82">
        <f t="shared" si="32"/>
        <v>0</v>
      </c>
      <c r="AK93" s="82" t="str">
        <f t="shared" si="33"/>
        <v>-</v>
      </c>
      <c r="AL93" s="82" t="str">
        <f t="shared" si="34"/>
        <v>Identifica este registro como MUJER</v>
      </c>
      <c r="AM93" s="82" t="str">
        <f t="shared" si="35"/>
        <v>-</v>
      </c>
      <c r="AN93" s="82" t="str">
        <f t="shared" si="36"/>
        <v>-</v>
      </c>
      <c r="AO93" s="82" t="str">
        <f t="shared" si="37"/>
        <v>-</v>
      </c>
      <c r="AP93" s="57" t="str">
        <f t="shared" si="38"/>
        <v>-</v>
      </c>
      <c r="AQ93" s="86" t="str">
        <f t="shared" si="39"/>
        <v>-</v>
      </c>
      <c r="AR93" s="86" t="str">
        <f>IF(N93="","PRIMER_DIA en blanco",
IF(AND(M93="01",N93&gt;=L_Conversion!$C$118,N93&lt;=L_Conversion!$D$118),"-",
IF(AND(M93="02",N93&gt;=L_Conversion!$C$119,N93&lt;=L_Conversion!$D$119),"-",
IF(AND(M93="03",N93&gt;=L_Conversion!$C$120,N93&lt;=L_Conversion!$D$120),"-",
IF(AND(M93="04",N93&gt;=L_Conversion!$C$121,N93&lt;=L_Conversion!$D$121),"-",
IF(AND(M93="05",N93&gt;=L_Conversion!$C$122,N93&lt;=L_Conversion!$D$122),"-",
IF(AND(M93="06",N93&gt;=L_Conversion!$C$123,N93&lt;=L_Conversion!$D$123),"-",
IF(AND(M93="07",N93&gt;=L_Conversion!$C$124,N93&lt;=L_Conversion!$D$124),"-",
IF(AND(M93="08",N93&gt;=L_Conversion!$C$125,N93&lt;=L_Conversion!$D$125),"-",
IF(AND(M93="09",N93&gt;=L_Conversion!$C$126,N93&lt;=L_Conversion!$D$126),"-",
IF(AND(M93="10",N93&gt;=L_Conversion!$C$127,N93&lt;=L_Conversion!$D$127),"-",
IF(AND(M93="11",N93&gt;=L_Conversion!$C$128,N93&lt;=L_Conversion!$D$128),"-",
IF(AND(M93="12",N93&gt;=L_Conversion!$C$129,N93&lt;=L_Conversion!$D$129),"-",
IF(AND(M93="13",N93&gt;=L_Conversion!$C$116,N93&lt;=L_Conversion!$D$116),"-",
IF(AND(M93="14",N93&gt;=L_Conversion!$C$117,N93&lt;=L_Conversion!$D$117),"-",
"PRIMER_DIA fuera de rango")))))))))))))))</f>
        <v>-</v>
      </c>
      <c r="AS93" s="86" t="str">
        <f t="shared" si="40"/>
        <v>-</v>
      </c>
      <c r="AT93" s="86" t="str">
        <f t="shared" si="41"/>
        <v>-</v>
      </c>
      <c r="AU93" s="86" t="str">
        <f t="shared" si="42"/>
        <v>-</v>
      </c>
      <c r="AV93" s="86" t="str">
        <f t="shared" si="43"/>
        <v>-</v>
      </c>
      <c r="AW93" s="86" t="str">
        <f t="shared" si="44"/>
        <v>-</v>
      </c>
      <c r="AX93" s="86" t="str">
        <f t="shared" si="45"/>
        <v>-</v>
      </c>
      <c r="AY93" s="86" t="str">
        <f t="shared" si="46"/>
        <v>-</v>
      </c>
      <c r="AZ93" s="86" t="str">
        <f t="shared" si="47"/>
        <v>-</v>
      </c>
      <c r="BA93" s="86" t="str">
        <f t="shared" si="48"/>
        <v>-</v>
      </c>
      <c r="BB93" s="86" t="str">
        <f t="shared" si="49"/>
        <v>-</v>
      </c>
      <c r="BC93" s="86" t="str">
        <f t="shared" si="50"/>
        <v>-</v>
      </c>
      <c r="BD93" s="86" t="str">
        <f t="shared" si="51"/>
        <v>-</v>
      </c>
      <c r="BE93" s="86" t="str">
        <f t="shared" si="52"/>
        <v>-</v>
      </c>
      <c r="BF93" s="86" t="str">
        <f t="shared" si="53"/>
        <v>-</v>
      </c>
    </row>
    <row r="94" spans="1:58" x14ac:dyDescent="0.2">
      <c r="A94" s="80" t="s">
        <v>1144</v>
      </c>
      <c r="B94" s="92" t="s">
        <v>76</v>
      </c>
      <c r="C94" s="202">
        <v>16871109</v>
      </c>
      <c r="D94" s="203">
        <v>3</v>
      </c>
      <c r="E94" s="204" t="s">
        <v>1213</v>
      </c>
      <c r="F94" s="204" t="s">
        <v>1150</v>
      </c>
      <c r="G94" s="204" t="s">
        <v>1214</v>
      </c>
      <c r="H94" s="205" t="s">
        <v>1033</v>
      </c>
      <c r="I94" s="205" t="s">
        <v>662</v>
      </c>
      <c r="J94" s="203">
        <v>80</v>
      </c>
      <c r="K94" s="204" t="s">
        <v>563</v>
      </c>
      <c r="L94" s="206" t="s">
        <v>502</v>
      </c>
      <c r="M94" s="210" t="s">
        <v>18</v>
      </c>
      <c r="N94" s="211">
        <v>45680</v>
      </c>
      <c r="O94" s="207">
        <v>7</v>
      </c>
      <c r="P94" s="203">
        <v>4</v>
      </c>
      <c r="Q94" s="205" t="s">
        <v>23</v>
      </c>
      <c r="R94" s="205" t="s">
        <v>11</v>
      </c>
      <c r="S94" s="205" t="s">
        <v>23</v>
      </c>
      <c r="T94" s="207">
        <v>7</v>
      </c>
      <c r="U94" s="208" t="s">
        <v>11</v>
      </c>
      <c r="V94" s="212" t="s">
        <v>11</v>
      </c>
      <c r="W94" s="212" t="s">
        <v>19</v>
      </c>
      <c r="X94" s="209">
        <v>1516</v>
      </c>
      <c r="Y94" s="213" t="s">
        <v>735</v>
      </c>
      <c r="Z94" s="209">
        <v>7</v>
      </c>
      <c r="AA94" s="209">
        <v>1516</v>
      </c>
      <c r="AB94" s="209">
        <v>1516</v>
      </c>
      <c r="AC94" s="178" t="str">
        <f>IF(OR(M94="13",M94="14",P94=8),"",IF(AND(OR(S94="AUTORIZADO", S94="PENDIENTE", S94="REDUCIDO", S94="AMPLIADO"),L94&lt;&gt;"HONORARIO" ), CONCATENATE(IF(H94="X","H",H94),"_",IF(OR(P94=5,P94=6),_xlfn.CONCAT(P94,"A"),P94),"_",VLOOKUP(T94,Datos!$B$2:$C$5,2,TRUE)),""))</f>
        <v>M_4_[4 a 10]</v>
      </c>
      <c r="AD94" s="178">
        <f t="shared" si="27"/>
        <v>3032</v>
      </c>
      <c r="AE94" s="82" t="str">
        <f t="shared" si="28"/>
        <v>-</v>
      </c>
      <c r="AF94" s="83" t="str">
        <f t="shared" si="29"/>
        <v>070601</v>
      </c>
      <c r="AG94" s="84"/>
      <c r="AH94" s="85" t="str">
        <f t="shared" si="30"/>
        <v>Corporación de Fomento de la Producción</v>
      </c>
      <c r="AI94" s="82" t="str">
        <f t="shared" si="31"/>
        <v>-</v>
      </c>
      <c r="AJ94" s="82">
        <f t="shared" si="32"/>
        <v>3</v>
      </c>
      <c r="AK94" s="82" t="str">
        <f t="shared" si="33"/>
        <v>-</v>
      </c>
      <c r="AL94" s="82" t="str">
        <f t="shared" si="34"/>
        <v>Identifica este registro como MUJER</v>
      </c>
      <c r="AM94" s="82" t="str">
        <f t="shared" si="35"/>
        <v>-</v>
      </c>
      <c r="AN94" s="82" t="str">
        <f t="shared" si="36"/>
        <v>-</v>
      </c>
      <c r="AO94" s="82" t="str">
        <f t="shared" si="37"/>
        <v>-</v>
      </c>
      <c r="AP94" s="57" t="str">
        <f t="shared" si="38"/>
        <v>-</v>
      </c>
      <c r="AQ94" s="86" t="str">
        <f t="shared" si="39"/>
        <v>-</v>
      </c>
      <c r="AR94" s="86" t="str">
        <f>IF(N94="","PRIMER_DIA en blanco",
IF(AND(M94="01",N94&gt;=L_Conversion!$C$118,N94&lt;=L_Conversion!$D$118),"-",
IF(AND(M94="02",N94&gt;=L_Conversion!$C$119,N94&lt;=L_Conversion!$D$119),"-",
IF(AND(M94="03",N94&gt;=L_Conversion!$C$120,N94&lt;=L_Conversion!$D$120),"-",
IF(AND(M94="04",N94&gt;=L_Conversion!$C$121,N94&lt;=L_Conversion!$D$121),"-",
IF(AND(M94="05",N94&gt;=L_Conversion!$C$122,N94&lt;=L_Conversion!$D$122),"-",
IF(AND(M94="06",N94&gt;=L_Conversion!$C$123,N94&lt;=L_Conversion!$D$123),"-",
IF(AND(M94="07",N94&gt;=L_Conversion!$C$124,N94&lt;=L_Conversion!$D$124),"-",
IF(AND(M94="08",N94&gt;=L_Conversion!$C$125,N94&lt;=L_Conversion!$D$125),"-",
IF(AND(M94="09",N94&gt;=L_Conversion!$C$126,N94&lt;=L_Conversion!$D$126),"-",
IF(AND(M94="10",N94&gt;=L_Conversion!$C$127,N94&lt;=L_Conversion!$D$127),"-",
IF(AND(M94="11",N94&gt;=L_Conversion!$C$128,N94&lt;=L_Conversion!$D$128),"-",
IF(AND(M94="12",N94&gt;=L_Conversion!$C$129,N94&lt;=L_Conversion!$D$129),"-",
IF(AND(M94="13",N94&gt;=L_Conversion!$C$116,N94&lt;=L_Conversion!$D$116),"-",
IF(AND(M94="14",N94&gt;=L_Conversion!$C$117,N94&lt;=L_Conversion!$D$117),"-",
"PRIMER_DIA fuera de rango")))))))))))))))</f>
        <v>-</v>
      </c>
      <c r="AS94" s="86" t="str">
        <f t="shared" si="40"/>
        <v>-</v>
      </c>
      <c r="AT94" s="86" t="str">
        <f t="shared" si="41"/>
        <v>-</v>
      </c>
      <c r="AU94" s="86" t="str">
        <f t="shared" si="42"/>
        <v>-</v>
      </c>
      <c r="AV94" s="86" t="str">
        <f t="shared" si="43"/>
        <v>-</v>
      </c>
      <c r="AW94" s="86" t="str">
        <f t="shared" si="44"/>
        <v>-</v>
      </c>
      <c r="AX94" s="86" t="str">
        <f t="shared" si="45"/>
        <v>-</v>
      </c>
      <c r="AY94" s="86" t="str">
        <f t="shared" si="46"/>
        <v>-</v>
      </c>
      <c r="AZ94" s="86" t="str">
        <f t="shared" si="47"/>
        <v>-</v>
      </c>
      <c r="BA94" s="86" t="str">
        <f t="shared" si="48"/>
        <v>-</v>
      </c>
      <c r="BB94" s="86" t="str">
        <f t="shared" si="49"/>
        <v>-</v>
      </c>
      <c r="BC94" s="86" t="str">
        <f t="shared" si="50"/>
        <v>-</v>
      </c>
      <c r="BD94" s="86" t="str">
        <f t="shared" si="51"/>
        <v>-</v>
      </c>
      <c r="BE94" s="86" t="str">
        <f t="shared" si="52"/>
        <v>-</v>
      </c>
      <c r="BF94" s="86" t="str">
        <f t="shared" si="53"/>
        <v>-</v>
      </c>
    </row>
    <row r="95" spans="1:58" x14ac:dyDescent="0.2">
      <c r="A95" s="80" t="s">
        <v>1144</v>
      </c>
      <c r="B95" s="92" t="s">
        <v>76</v>
      </c>
      <c r="C95" s="202">
        <v>15009402</v>
      </c>
      <c r="D95" s="203" t="s">
        <v>1151</v>
      </c>
      <c r="E95" s="204" t="s">
        <v>1383</v>
      </c>
      <c r="F95" s="204" t="s">
        <v>1384</v>
      </c>
      <c r="G95" s="204" t="s">
        <v>1385</v>
      </c>
      <c r="H95" s="205" t="s">
        <v>663</v>
      </c>
      <c r="I95" s="205" t="s">
        <v>662</v>
      </c>
      <c r="J95" s="203">
        <v>80</v>
      </c>
      <c r="K95" s="204" t="s">
        <v>563</v>
      </c>
      <c r="L95" s="206" t="s">
        <v>502</v>
      </c>
      <c r="M95" s="210" t="s">
        <v>18</v>
      </c>
      <c r="N95" s="211">
        <v>45680</v>
      </c>
      <c r="O95" s="207">
        <v>3</v>
      </c>
      <c r="P95" s="203">
        <v>1</v>
      </c>
      <c r="Q95" s="205" t="s">
        <v>23</v>
      </c>
      <c r="R95" s="205" t="s">
        <v>11</v>
      </c>
      <c r="S95" s="205" t="s">
        <v>23</v>
      </c>
      <c r="T95" s="207">
        <v>3</v>
      </c>
      <c r="U95" s="208" t="s">
        <v>11</v>
      </c>
      <c r="V95" s="212" t="s">
        <v>19</v>
      </c>
      <c r="W95" s="212" t="s">
        <v>19</v>
      </c>
      <c r="X95" s="209">
        <v>52206</v>
      </c>
      <c r="Y95" s="213" t="s">
        <v>735</v>
      </c>
      <c r="Z95" s="209">
        <v>3</v>
      </c>
      <c r="AA95" s="209">
        <v>52206</v>
      </c>
      <c r="AB95" s="209">
        <v>52206</v>
      </c>
      <c r="AC95" s="178" t="str">
        <f>IF(OR(M95="13",M95="14",P95=8),"",IF(AND(OR(S95="AUTORIZADO", S95="PENDIENTE", S95="REDUCIDO", S95="AMPLIADO"),L95&lt;&gt;"HONORARIO" ), CONCATENATE(IF(H95="X","H",H95),"_",IF(OR(P95=5,P95=6),_xlfn.CONCAT(P95,"A"),P95),"_",VLOOKUP(T95,Datos!$B$2:$C$5,2,TRUE)),""))</f>
        <v>H_1_[hasta 3]</v>
      </c>
      <c r="AD95" s="178">
        <f t="shared" si="27"/>
        <v>104412</v>
      </c>
      <c r="AE95" s="82" t="str">
        <f t="shared" si="28"/>
        <v>-</v>
      </c>
      <c r="AF95" s="83" t="str">
        <f t="shared" si="29"/>
        <v>070601</v>
      </c>
      <c r="AG95" s="84"/>
      <c r="AH95" s="85" t="str">
        <f t="shared" si="30"/>
        <v>Corporación de Fomento de la Producción</v>
      </c>
      <c r="AI95" s="82" t="str">
        <f t="shared" si="31"/>
        <v>-</v>
      </c>
      <c r="AJ95" s="82" t="str">
        <f t="shared" si="32"/>
        <v>K</v>
      </c>
      <c r="AK95" s="82" t="str">
        <f t="shared" si="33"/>
        <v>-</v>
      </c>
      <c r="AL95" s="82" t="str">
        <f t="shared" si="34"/>
        <v>Identifica este registro como HOMBRE</v>
      </c>
      <c r="AM95" s="82" t="str">
        <f t="shared" si="35"/>
        <v>-</v>
      </c>
      <c r="AN95" s="82" t="str">
        <f t="shared" si="36"/>
        <v>-</v>
      </c>
      <c r="AO95" s="82" t="str">
        <f t="shared" si="37"/>
        <v>-</v>
      </c>
      <c r="AP95" s="57" t="str">
        <f t="shared" si="38"/>
        <v>-</v>
      </c>
      <c r="AQ95" s="86" t="str">
        <f t="shared" si="39"/>
        <v>-</v>
      </c>
      <c r="AR95" s="86" t="str">
        <f>IF(N95="","PRIMER_DIA en blanco",
IF(AND(M95="01",N95&gt;=L_Conversion!$C$118,N95&lt;=L_Conversion!$D$118),"-",
IF(AND(M95="02",N95&gt;=L_Conversion!$C$119,N95&lt;=L_Conversion!$D$119),"-",
IF(AND(M95="03",N95&gt;=L_Conversion!$C$120,N95&lt;=L_Conversion!$D$120),"-",
IF(AND(M95="04",N95&gt;=L_Conversion!$C$121,N95&lt;=L_Conversion!$D$121),"-",
IF(AND(M95="05",N95&gt;=L_Conversion!$C$122,N95&lt;=L_Conversion!$D$122),"-",
IF(AND(M95="06",N95&gt;=L_Conversion!$C$123,N95&lt;=L_Conversion!$D$123),"-",
IF(AND(M95="07",N95&gt;=L_Conversion!$C$124,N95&lt;=L_Conversion!$D$124),"-",
IF(AND(M95="08",N95&gt;=L_Conversion!$C$125,N95&lt;=L_Conversion!$D$125),"-",
IF(AND(M95="09",N95&gt;=L_Conversion!$C$126,N95&lt;=L_Conversion!$D$126),"-",
IF(AND(M95="10",N95&gt;=L_Conversion!$C$127,N95&lt;=L_Conversion!$D$127),"-",
IF(AND(M95="11",N95&gt;=L_Conversion!$C$128,N95&lt;=L_Conversion!$D$128),"-",
IF(AND(M95="12",N95&gt;=L_Conversion!$C$129,N95&lt;=L_Conversion!$D$129),"-",
IF(AND(M95="13",N95&gt;=L_Conversion!$C$116,N95&lt;=L_Conversion!$D$116),"-",
IF(AND(M95="14",N95&gt;=L_Conversion!$C$117,N95&lt;=L_Conversion!$D$117),"-",
"PRIMER_DIA fuera de rango")))))))))))))))</f>
        <v>-</v>
      </c>
      <c r="AS95" s="86" t="str">
        <f t="shared" si="40"/>
        <v>-</v>
      </c>
      <c r="AT95" s="86" t="str">
        <f t="shared" si="41"/>
        <v>-</v>
      </c>
      <c r="AU95" s="86" t="str">
        <f t="shared" si="42"/>
        <v>-</v>
      </c>
      <c r="AV95" s="86" t="str">
        <f t="shared" si="43"/>
        <v>-</v>
      </c>
      <c r="AW95" s="86" t="str">
        <f t="shared" si="44"/>
        <v>-</v>
      </c>
      <c r="AX95" s="86" t="str">
        <f t="shared" si="45"/>
        <v>-</v>
      </c>
      <c r="AY95" s="86" t="str">
        <f t="shared" si="46"/>
        <v>-</v>
      </c>
      <c r="AZ95" s="86" t="str">
        <f t="shared" si="47"/>
        <v>-</v>
      </c>
      <c r="BA95" s="86" t="str">
        <f t="shared" si="48"/>
        <v>-</v>
      </c>
      <c r="BB95" s="86" t="str">
        <f t="shared" si="49"/>
        <v>-</v>
      </c>
      <c r="BC95" s="86" t="str">
        <f t="shared" si="50"/>
        <v>-</v>
      </c>
      <c r="BD95" s="86" t="str">
        <f t="shared" si="51"/>
        <v>-</v>
      </c>
      <c r="BE95" s="86" t="str">
        <f t="shared" si="52"/>
        <v>-</v>
      </c>
      <c r="BF95" s="86" t="str">
        <f t="shared" si="53"/>
        <v>-</v>
      </c>
    </row>
    <row r="96" spans="1:58" x14ac:dyDescent="0.2">
      <c r="A96" s="80" t="s">
        <v>1144</v>
      </c>
      <c r="B96" s="92" t="s">
        <v>76</v>
      </c>
      <c r="C96" s="202">
        <v>16497142</v>
      </c>
      <c r="D96" s="203">
        <v>2</v>
      </c>
      <c r="E96" s="204" t="s">
        <v>1193</v>
      </c>
      <c r="F96" s="204" t="s">
        <v>1386</v>
      </c>
      <c r="G96" s="204" t="s">
        <v>1387</v>
      </c>
      <c r="H96" s="205" t="s">
        <v>663</v>
      </c>
      <c r="I96" s="205" t="s">
        <v>662</v>
      </c>
      <c r="J96" s="203">
        <v>80</v>
      </c>
      <c r="K96" s="204" t="s">
        <v>567</v>
      </c>
      <c r="L96" s="206" t="s">
        <v>502</v>
      </c>
      <c r="M96" s="210" t="s">
        <v>18</v>
      </c>
      <c r="N96" s="211">
        <v>45680</v>
      </c>
      <c r="O96" s="207">
        <v>2</v>
      </c>
      <c r="P96" s="203">
        <v>1</v>
      </c>
      <c r="Q96" s="205" t="s">
        <v>23</v>
      </c>
      <c r="R96" s="205" t="s">
        <v>11</v>
      </c>
      <c r="S96" s="205" t="s">
        <v>23</v>
      </c>
      <c r="T96" s="207">
        <v>2</v>
      </c>
      <c r="U96" s="208" t="s">
        <v>11</v>
      </c>
      <c r="V96" s="212" t="s">
        <v>19</v>
      </c>
      <c r="W96" s="212" t="s">
        <v>19</v>
      </c>
      <c r="X96" s="209">
        <v>13714</v>
      </c>
      <c r="Y96" s="213" t="s">
        <v>735</v>
      </c>
      <c r="Z96" s="209">
        <v>2</v>
      </c>
      <c r="AA96" s="209">
        <v>13714</v>
      </c>
      <c r="AB96" s="209">
        <v>13714</v>
      </c>
      <c r="AC96" s="178" t="str">
        <f>IF(OR(M96="13",M96="14",P96=8),"",IF(AND(OR(S96="AUTORIZADO", S96="PENDIENTE", S96="REDUCIDO", S96="AMPLIADO"),L96&lt;&gt;"HONORARIO" ), CONCATENATE(IF(H96="X","H",H96),"_",IF(OR(P96=5,P96=6),_xlfn.CONCAT(P96,"A"),P96),"_",VLOOKUP(T96,Datos!$B$2:$C$5,2,TRUE)),""))</f>
        <v>H_1_[hasta 3]</v>
      </c>
      <c r="AD96" s="178">
        <f t="shared" si="27"/>
        <v>27428</v>
      </c>
      <c r="AE96" s="82" t="str">
        <f t="shared" si="28"/>
        <v>-</v>
      </c>
      <c r="AF96" s="83" t="str">
        <f t="shared" si="29"/>
        <v>070601</v>
      </c>
      <c r="AG96" s="84"/>
      <c r="AH96" s="85" t="str">
        <f t="shared" si="30"/>
        <v>Corporación de Fomento de la Producción</v>
      </c>
      <c r="AI96" s="82" t="str">
        <f t="shared" si="31"/>
        <v>-</v>
      </c>
      <c r="AJ96" s="82">
        <f t="shared" si="32"/>
        <v>2</v>
      </c>
      <c r="AK96" s="82" t="str">
        <f t="shared" si="33"/>
        <v>-</v>
      </c>
      <c r="AL96" s="82" t="str">
        <f t="shared" si="34"/>
        <v>Identifica este registro como HOMBRE</v>
      </c>
      <c r="AM96" s="82" t="str">
        <f t="shared" si="35"/>
        <v>-</v>
      </c>
      <c r="AN96" s="82" t="str">
        <f t="shared" si="36"/>
        <v>-</v>
      </c>
      <c r="AO96" s="82" t="str">
        <f t="shared" si="37"/>
        <v>-</v>
      </c>
      <c r="AP96" s="57" t="str">
        <f t="shared" si="38"/>
        <v>-</v>
      </c>
      <c r="AQ96" s="86" t="str">
        <f t="shared" si="39"/>
        <v>-</v>
      </c>
      <c r="AR96" s="86" t="str">
        <f>IF(N96="","PRIMER_DIA en blanco",
IF(AND(M96="01",N96&gt;=L_Conversion!$C$118,N96&lt;=L_Conversion!$D$118),"-",
IF(AND(M96="02",N96&gt;=L_Conversion!$C$119,N96&lt;=L_Conversion!$D$119),"-",
IF(AND(M96="03",N96&gt;=L_Conversion!$C$120,N96&lt;=L_Conversion!$D$120),"-",
IF(AND(M96="04",N96&gt;=L_Conversion!$C$121,N96&lt;=L_Conversion!$D$121),"-",
IF(AND(M96="05",N96&gt;=L_Conversion!$C$122,N96&lt;=L_Conversion!$D$122),"-",
IF(AND(M96="06",N96&gt;=L_Conversion!$C$123,N96&lt;=L_Conversion!$D$123),"-",
IF(AND(M96="07",N96&gt;=L_Conversion!$C$124,N96&lt;=L_Conversion!$D$124),"-",
IF(AND(M96="08",N96&gt;=L_Conversion!$C$125,N96&lt;=L_Conversion!$D$125),"-",
IF(AND(M96="09",N96&gt;=L_Conversion!$C$126,N96&lt;=L_Conversion!$D$126),"-",
IF(AND(M96="10",N96&gt;=L_Conversion!$C$127,N96&lt;=L_Conversion!$D$127),"-",
IF(AND(M96="11",N96&gt;=L_Conversion!$C$128,N96&lt;=L_Conversion!$D$128),"-",
IF(AND(M96="12",N96&gt;=L_Conversion!$C$129,N96&lt;=L_Conversion!$D$129),"-",
IF(AND(M96="13",N96&gt;=L_Conversion!$C$116,N96&lt;=L_Conversion!$D$116),"-",
IF(AND(M96="14",N96&gt;=L_Conversion!$C$117,N96&lt;=L_Conversion!$D$117),"-",
"PRIMER_DIA fuera de rango")))))))))))))))</f>
        <v>-</v>
      </c>
      <c r="AS96" s="86" t="str">
        <f t="shared" si="40"/>
        <v>-</v>
      </c>
      <c r="AT96" s="86" t="str">
        <f t="shared" si="41"/>
        <v>-</v>
      </c>
      <c r="AU96" s="86" t="str">
        <f t="shared" si="42"/>
        <v>-</v>
      </c>
      <c r="AV96" s="86" t="str">
        <f t="shared" si="43"/>
        <v>-</v>
      </c>
      <c r="AW96" s="86" t="str">
        <f t="shared" si="44"/>
        <v>-</v>
      </c>
      <c r="AX96" s="86" t="str">
        <f t="shared" si="45"/>
        <v>-</v>
      </c>
      <c r="AY96" s="86" t="str">
        <f t="shared" si="46"/>
        <v>-</v>
      </c>
      <c r="AZ96" s="86" t="str">
        <f t="shared" si="47"/>
        <v>-</v>
      </c>
      <c r="BA96" s="86" t="str">
        <f t="shared" si="48"/>
        <v>-</v>
      </c>
      <c r="BB96" s="86" t="str">
        <f t="shared" si="49"/>
        <v>-</v>
      </c>
      <c r="BC96" s="86" t="str">
        <f t="shared" si="50"/>
        <v>-</v>
      </c>
      <c r="BD96" s="86" t="str">
        <f t="shared" si="51"/>
        <v>-</v>
      </c>
      <c r="BE96" s="86" t="str">
        <f t="shared" si="52"/>
        <v>-</v>
      </c>
      <c r="BF96" s="86" t="str">
        <f t="shared" si="53"/>
        <v>-</v>
      </c>
    </row>
    <row r="97" spans="1:58" x14ac:dyDescent="0.2">
      <c r="A97" s="80" t="s">
        <v>1144</v>
      </c>
      <c r="B97" s="92" t="s">
        <v>76</v>
      </c>
      <c r="C97" s="202">
        <v>12935948</v>
      </c>
      <c r="D97" s="203" t="s">
        <v>1151</v>
      </c>
      <c r="E97" s="204" t="s">
        <v>1321</v>
      </c>
      <c r="F97" s="204" t="s">
        <v>1277</v>
      </c>
      <c r="G97" s="204" t="s">
        <v>1322</v>
      </c>
      <c r="H97" s="205" t="s">
        <v>1033</v>
      </c>
      <c r="I97" s="205" t="s">
        <v>662</v>
      </c>
      <c r="J97" s="203">
        <v>80</v>
      </c>
      <c r="K97" s="204" t="s">
        <v>563</v>
      </c>
      <c r="L97" s="206" t="s">
        <v>502</v>
      </c>
      <c r="M97" s="210" t="s">
        <v>18</v>
      </c>
      <c r="N97" s="211">
        <v>45680</v>
      </c>
      <c r="O97" s="207">
        <v>21</v>
      </c>
      <c r="P97" s="203">
        <v>1</v>
      </c>
      <c r="Q97" s="205" t="s">
        <v>23</v>
      </c>
      <c r="R97" s="205" t="s">
        <v>11</v>
      </c>
      <c r="S97" s="205" t="s">
        <v>23</v>
      </c>
      <c r="T97" s="207">
        <v>21</v>
      </c>
      <c r="U97" s="208" t="s">
        <v>11</v>
      </c>
      <c r="V97" s="212" t="s">
        <v>11</v>
      </c>
      <c r="W97" s="212" t="s">
        <v>19</v>
      </c>
      <c r="X97" s="209">
        <v>2192474</v>
      </c>
      <c r="Y97" s="213" t="s">
        <v>735</v>
      </c>
      <c r="Z97" s="209">
        <v>21</v>
      </c>
      <c r="AA97" s="209">
        <v>2192474</v>
      </c>
      <c r="AB97" s="209">
        <v>2192474</v>
      </c>
      <c r="AC97" s="178" t="str">
        <f>IF(OR(M97="13",M97="14",P97=8),"",IF(AND(OR(S97="AUTORIZADO", S97="PENDIENTE", S97="REDUCIDO", S97="AMPLIADO"),L97&lt;&gt;"HONORARIO" ), CONCATENATE(IF(H97="X","H",H97),"_",IF(OR(P97=5,P97=6),_xlfn.CONCAT(P97,"A"),P97),"_",VLOOKUP(T97,Datos!$B$2:$C$5,2,TRUE)),""))</f>
        <v>M_1_[11 +]</v>
      </c>
      <c r="AD97" s="178">
        <f t="shared" si="27"/>
        <v>4384948</v>
      </c>
      <c r="AE97" s="82" t="str">
        <f t="shared" si="28"/>
        <v>-</v>
      </c>
      <c r="AF97" s="83" t="str">
        <f t="shared" si="29"/>
        <v>070601</v>
      </c>
      <c r="AG97" s="84"/>
      <c r="AH97" s="85" t="str">
        <f t="shared" si="30"/>
        <v>Corporación de Fomento de la Producción</v>
      </c>
      <c r="AI97" s="82" t="str">
        <f t="shared" si="31"/>
        <v>-</v>
      </c>
      <c r="AJ97" s="82" t="str">
        <f t="shared" si="32"/>
        <v>K</v>
      </c>
      <c r="AK97" s="82" t="str">
        <f t="shared" si="33"/>
        <v>-</v>
      </c>
      <c r="AL97" s="82" t="str">
        <f t="shared" si="34"/>
        <v>Identifica este registro como MUJER</v>
      </c>
      <c r="AM97" s="82" t="str">
        <f t="shared" si="35"/>
        <v>-</v>
      </c>
      <c r="AN97" s="82" t="str">
        <f t="shared" si="36"/>
        <v>-</v>
      </c>
      <c r="AO97" s="82" t="str">
        <f t="shared" si="37"/>
        <v>-</v>
      </c>
      <c r="AP97" s="57" t="str">
        <f t="shared" si="38"/>
        <v>-</v>
      </c>
      <c r="AQ97" s="86" t="str">
        <f t="shared" si="39"/>
        <v>-</v>
      </c>
      <c r="AR97" s="86" t="str">
        <f>IF(N97="","PRIMER_DIA en blanco",
IF(AND(M97="01",N97&gt;=L_Conversion!$C$118,N97&lt;=L_Conversion!$D$118),"-",
IF(AND(M97="02",N97&gt;=L_Conversion!$C$119,N97&lt;=L_Conversion!$D$119),"-",
IF(AND(M97="03",N97&gt;=L_Conversion!$C$120,N97&lt;=L_Conversion!$D$120),"-",
IF(AND(M97="04",N97&gt;=L_Conversion!$C$121,N97&lt;=L_Conversion!$D$121),"-",
IF(AND(M97="05",N97&gt;=L_Conversion!$C$122,N97&lt;=L_Conversion!$D$122),"-",
IF(AND(M97="06",N97&gt;=L_Conversion!$C$123,N97&lt;=L_Conversion!$D$123),"-",
IF(AND(M97="07",N97&gt;=L_Conversion!$C$124,N97&lt;=L_Conversion!$D$124),"-",
IF(AND(M97="08",N97&gt;=L_Conversion!$C$125,N97&lt;=L_Conversion!$D$125),"-",
IF(AND(M97="09",N97&gt;=L_Conversion!$C$126,N97&lt;=L_Conversion!$D$126),"-",
IF(AND(M97="10",N97&gt;=L_Conversion!$C$127,N97&lt;=L_Conversion!$D$127),"-",
IF(AND(M97="11",N97&gt;=L_Conversion!$C$128,N97&lt;=L_Conversion!$D$128),"-",
IF(AND(M97="12",N97&gt;=L_Conversion!$C$129,N97&lt;=L_Conversion!$D$129),"-",
IF(AND(M97="13",N97&gt;=L_Conversion!$C$116,N97&lt;=L_Conversion!$D$116),"-",
IF(AND(M97="14",N97&gt;=L_Conversion!$C$117,N97&lt;=L_Conversion!$D$117),"-",
"PRIMER_DIA fuera de rango")))))))))))))))</f>
        <v>-</v>
      </c>
      <c r="AS97" s="86" t="str">
        <f t="shared" si="40"/>
        <v>-</v>
      </c>
      <c r="AT97" s="86" t="str">
        <f t="shared" si="41"/>
        <v>-</v>
      </c>
      <c r="AU97" s="86" t="str">
        <f t="shared" si="42"/>
        <v>-</v>
      </c>
      <c r="AV97" s="86" t="str">
        <f t="shared" si="43"/>
        <v>-</v>
      </c>
      <c r="AW97" s="86" t="str">
        <f t="shared" si="44"/>
        <v>-</v>
      </c>
      <c r="AX97" s="86" t="str">
        <f t="shared" si="45"/>
        <v>-</v>
      </c>
      <c r="AY97" s="86" t="str">
        <f t="shared" si="46"/>
        <v>-</v>
      </c>
      <c r="AZ97" s="86" t="str">
        <f t="shared" si="47"/>
        <v>-</v>
      </c>
      <c r="BA97" s="86" t="str">
        <f t="shared" si="48"/>
        <v>-</v>
      </c>
      <c r="BB97" s="86" t="str">
        <f t="shared" si="49"/>
        <v>-</v>
      </c>
      <c r="BC97" s="86" t="str">
        <f t="shared" si="50"/>
        <v>-</v>
      </c>
      <c r="BD97" s="86" t="str">
        <f t="shared" si="51"/>
        <v>-</v>
      </c>
      <c r="BE97" s="86" t="str">
        <f t="shared" si="52"/>
        <v>-</v>
      </c>
      <c r="BF97" s="86" t="str">
        <f t="shared" si="53"/>
        <v>-</v>
      </c>
    </row>
    <row r="98" spans="1:58" x14ac:dyDescent="0.2">
      <c r="A98" s="80" t="s">
        <v>1144</v>
      </c>
      <c r="B98" s="92" t="s">
        <v>1220</v>
      </c>
      <c r="C98" s="202">
        <v>16660288</v>
      </c>
      <c r="D98" s="203">
        <v>2</v>
      </c>
      <c r="E98" s="204" t="s">
        <v>1169</v>
      </c>
      <c r="F98" s="204" t="s">
        <v>1285</v>
      </c>
      <c r="G98" s="204" t="s">
        <v>1286</v>
      </c>
      <c r="H98" s="205" t="s">
        <v>1033</v>
      </c>
      <c r="I98" s="205" t="s">
        <v>663</v>
      </c>
      <c r="J98" s="203">
        <v>80</v>
      </c>
      <c r="K98" s="204" t="s">
        <v>563</v>
      </c>
      <c r="L98" s="206" t="s">
        <v>516</v>
      </c>
      <c r="M98" s="210" t="s">
        <v>18</v>
      </c>
      <c r="N98" s="211">
        <v>45680</v>
      </c>
      <c r="O98" s="207">
        <v>11</v>
      </c>
      <c r="P98" s="203">
        <v>1</v>
      </c>
      <c r="Q98" s="205" t="s">
        <v>23</v>
      </c>
      <c r="R98" s="205" t="s">
        <v>11</v>
      </c>
      <c r="S98" s="205" t="s">
        <v>23</v>
      </c>
      <c r="T98" s="207">
        <v>11</v>
      </c>
      <c r="U98" s="208" t="s">
        <v>11</v>
      </c>
      <c r="V98" s="212" t="s">
        <v>11</v>
      </c>
      <c r="W98" s="212" t="s">
        <v>19</v>
      </c>
      <c r="X98" s="209">
        <v>1159695</v>
      </c>
      <c r="Y98" s="213" t="s">
        <v>735</v>
      </c>
      <c r="Z98" s="209">
        <v>11</v>
      </c>
      <c r="AA98" s="209">
        <v>1159695</v>
      </c>
      <c r="AB98" s="209">
        <v>1159695</v>
      </c>
      <c r="AC98" s="178" t="str">
        <f>IF(OR(M98="13",M98="14",P98=8),"",IF(AND(OR(S98="AUTORIZADO", S98="PENDIENTE", S98="REDUCIDO", S98="AMPLIADO"),L98&lt;&gt;"HONORARIO" ), CONCATENATE(IF(H98="X","H",H98),"_",IF(OR(P98=5,P98=6),_xlfn.CONCAT(P98,"A"),P98),"_",VLOOKUP(T98,Datos!$B$2:$C$5,2,TRUE)),""))</f>
        <v>M_1_[11 +]</v>
      </c>
      <c r="AD98" s="178">
        <f t="shared" si="27"/>
        <v>2319390</v>
      </c>
      <c r="AE98" s="82" t="str">
        <f t="shared" si="28"/>
        <v>-</v>
      </c>
      <c r="AF98" s="83" t="str">
        <f t="shared" si="29"/>
        <v>Revisar</v>
      </c>
      <c r="AG98" s="84"/>
      <c r="AH98" s="85" t="str">
        <f t="shared" si="30"/>
        <v>Corregir código servicio</v>
      </c>
      <c r="AI98" s="82" t="str">
        <f t="shared" si="31"/>
        <v>-</v>
      </c>
      <c r="AJ98" s="82">
        <f t="shared" si="32"/>
        <v>2</v>
      </c>
      <c r="AK98" s="82" t="str">
        <f t="shared" si="33"/>
        <v>-</v>
      </c>
      <c r="AL98" s="82" t="str">
        <f t="shared" si="34"/>
        <v>Identifica este registro como MUJER</v>
      </c>
      <c r="AM98" s="82" t="str">
        <f t="shared" si="35"/>
        <v>-</v>
      </c>
      <c r="AN98" s="82" t="str">
        <f t="shared" si="36"/>
        <v>-</v>
      </c>
      <c r="AO98" s="82" t="str">
        <f t="shared" si="37"/>
        <v>-</v>
      </c>
      <c r="AP98" s="57" t="str">
        <f t="shared" si="38"/>
        <v>-</v>
      </c>
      <c r="AQ98" s="86" t="str">
        <f t="shared" si="39"/>
        <v>-</v>
      </c>
      <c r="AR98" s="86" t="str">
        <f>IF(N98="","PRIMER_DIA en blanco",
IF(AND(M98="01",N98&gt;=L_Conversion!$C$118,N98&lt;=L_Conversion!$D$118),"-",
IF(AND(M98="02",N98&gt;=L_Conversion!$C$119,N98&lt;=L_Conversion!$D$119),"-",
IF(AND(M98="03",N98&gt;=L_Conversion!$C$120,N98&lt;=L_Conversion!$D$120),"-",
IF(AND(M98="04",N98&gt;=L_Conversion!$C$121,N98&lt;=L_Conversion!$D$121),"-",
IF(AND(M98="05",N98&gt;=L_Conversion!$C$122,N98&lt;=L_Conversion!$D$122),"-",
IF(AND(M98="06",N98&gt;=L_Conversion!$C$123,N98&lt;=L_Conversion!$D$123),"-",
IF(AND(M98="07",N98&gt;=L_Conversion!$C$124,N98&lt;=L_Conversion!$D$124),"-",
IF(AND(M98="08",N98&gt;=L_Conversion!$C$125,N98&lt;=L_Conversion!$D$125),"-",
IF(AND(M98="09",N98&gt;=L_Conversion!$C$126,N98&lt;=L_Conversion!$D$126),"-",
IF(AND(M98="10",N98&gt;=L_Conversion!$C$127,N98&lt;=L_Conversion!$D$127),"-",
IF(AND(M98="11",N98&gt;=L_Conversion!$C$128,N98&lt;=L_Conversion!$D$128),"-",
IF(AND(M98="12",N98&gt;=L_Conversion!$C$129,N98&lt;=L_Conversion!$D$129),"-",
IF(AND(M98="13",N98&gt;=L_Conversion!$C$116,N98&lt;=L_Conversion!$D$116),"-",
IF(AND(M98="14",N98&gt;=L_Conversion!$C$117,N98&lt;=L_Conversion!$D$117),"-",
"PRIMER_DIA fuera de rango")))))))))))))))</f>
        <v>-</v>
      </c>
      <c r="AS98" s="86" t="str">
        <f t="shared" si="40"/>
        <v>-</v>
      </c>
      <c r="AT98" s="86" t="str">
        <f t="shared" si="41"/>
        <v>-</v>
      </c>
      <c r="AU98" s="86" t="str">
        <f t="shared" si="42"/>
        <v>-</v>
      </c>
      <c r="AV98" s="86" t="str">
        <f t="shared" si="43"/>
        <v>-</v>
      </c>
      <c r="AW98" s="86" t="str">
        <f t="shared" si="44"/>
        <v>-</v>
      </c>
      <c r="AX98" s="86" t="str">
        <f t="shared" si="45"/>
        <v>-</v>
      </c>
      <c r="AY98" s="86" t="str">
        <f t="shared" si="46"/>
        <v>-</v>
      </c>
      <c r="AZ98" s="86" t="str">
        <f t="shared" si="47"/>
        <v>-</v>
      </c>
      <c r="BA98" s="86" t="str">
        <f t="shared" si="48"/>
        <v>-</v>
      </c>
      <c r="BB98" s="86" t="str">
        <f t="shared" si="49"/>
        <v>-</v>
      </c>
      <c r="BC98" s="86" t="str">
        <f t="shared" si="50"/>
        <v>-</v>
      </c>
      <c r="BD98" s="86" t="str">
        <f t="shared" si="51"/>
        <v>-</v>
      </c>
      <c r="BE98" s="86" t="str">
        <f t="shared" si="52"/>
        <v>-</v>
      </c>
      <c r="BF98" s="86" t="str">
        <f t="shared" si="53"/>
        <v>-</v>
      </c>
    </row>
    <row r="99" spans="1:58" x14ac:dyDescent="0.2">
      <c r="A99" s="80" t="s">
        <v>1144</v>
      </c>
      <c r="B99" s="92" t="s">
        <v>76</v>
      </c>
      <c r="C99" s="202">
        <v>12210246</v>
      </c>
      <c r="D99" s="203">
        <v>7</v>
      </c>
      <c r="E99" s="204" t="s">
        <v>1388</v>
      </c>
      <c r="F99" s="204" t="s">
        <v>1389</v>
      </c>
      <c r="G99" s="204" t="s">
        <v>1390</v>
      </c>
      <c r="H99" s="205" t="s">
        <v>1033</v>
      </c>
      <c r="I99" s="205" t="s">
        <v>662</v>
      </c>
      <c r="J99" s="203">
        <v>80</v>
      </c>
      <c r="K99" s="204" t="s">
        <v>567</v>
      </c>
      <c r="L99" s="206" t="s">
        <v>502</v>
      </c>
      <c r="M99" s="210" t="s">
        <v>18</v>
      </c>
      <c r="N99" s="211">
        <v>45680</v>
      </c>
      <c r="O99" s="207">
        <v>15</v>
      </c>
      <c r="P99" s="203">
        <v>1</v>
      </c>
      <c r="Q99" s="205" t="s">
        <v>23</v>
      </c>
      <c r="R99" s="205" t="s">
        <v>11</v>
      </c>
      <c r="S99" s="205" t="s">
        <v>23</v>
      </c>
      <c r="T99" s="207">
        <v>15</v>
      </c>
      <c r="U99" s="208" t="s">
        <v>11</v>
      </c>
      <c r="V99" s="212" t="s">
        <v>11</v>
      </c>
      <c r="W99" s="212" t="s">
        <v>19</v>
      </c>
      <c r="X99" s="209">
        <v>1141689</v>
      </c>
      <c r="Y99" s="213" t="s">
        <v>735</v>
      </c>
      <c r="Z99" s="209">
        <v>15</v>
      </c>
      <c r="AA99" s="209">
        <v>1141689</v>
      </c>
      <c r="AB99" s="209">
        <v>1141689</v>
      </c>
      <c r="AC99" s="178" t="str">
        <f>IF(OR(M99="13",M99="14",P99=8),"",IF(AND(OR(S99="AUTORIZADO", S99="PENDIENTE", S99="REDUCIDO", S99="AMPLIADO"),L99&lt;&gt;"HONORARIO" ), CONCATENATE(IF(H99="X","H",H99),"_",IF(OR(P99=5,P99=6),_xlfn.CONCAT(P99,"A"),P99),"_",VLOOKUP(T99,Datos!$B$2:$C$5,2,TRUE)),""))</f>
        <v>M_1_[11 +]</v>
      </c>
      <c r="AD99" s="178">
        <f t="shared" si="27"/>
        <v>2283378</v>
      </c>
      <c r="AE99" s="82" t="str">
        <f t="shared" si="28"/>
        <v>-</v>
      </c>
      <c r="AF99" s="83" t="str">
        <f t="shared" si="29"/>
        <v>070601</v>
      </c>
      <c r="AG99" s="84"/>
      <c r="AH99" s="85" t="str">
        <f t="shared" si="30"/>
        <v>Corporación de Fomento de la Producción</v>
      </c>
      <c r="AI99" s="82" t="str">
        <f t="shared" si="31"/>
        <v>-</v>
      </c>
      <c r="AJ99" s="82">
        <f t="shared" si="32"/>
        <v>7</v>
      </c>
      <c r="AK99" s="82" t="str">
        <f t="shared" si="33"/>
        <v>-</v>
      </c>
      <c r="AL99" s="82" t="str">
        <f t="shared" si="34"/>
        <v>Identifica este registro como MUJER</v>
      </c>
      <c r="AM99" s="82" t="str">
        <f t="shared" si="35"/>
        <v>-</v>
      </c>
      <c r="AN99" s="82" t="str">
        <f t="shared" si="36"/>
        <v>-</v>
      </c>
      <c r="AO99" s="82" t="str">
        <f t="shared" si="37"/>
        <v>-</v>
      </c>
      <c r="AP99" s="57" t="str">
        <f t="shared" si="38"/>
        <v>-</v>
      </c>
      <c r="AQ99" s="86" t="str">
        <f t="shared" si="39"/>
        <v>-</v>
      </c>
      <c r="AR99" s="86" t="str">
        <f>IF(N99="","PRIMER_DIA en blanco",
IF(AND(M99="01",N99&gt;=L_Conversion!$C$118,N99&lt;=L_Conversion!$D$118),"-",
IF(AND(M99="02",N99&gt;=L_Conversion!$C$119,N99&lt;=L_Conversion!$D$119),"-",
IF(AND(M99="03",N99&gt;=L_Conversion!$C$120,N99&lt;=L_Conversion!$D$120),"-",
IF(AND(M99="04",N99&gt;=L_Conversion!$C$121,N99&lt;=L_Conversion!$D$121),"-",
IF(AND(M99="05",N99&gt;=L_Conversion!$C$122,N99&lt;=L_Conversion!$D$122),"-",
IF(AND(M99="06",N99&gt;=L_Conversion!$C$123,N99&lt;=L_Conversion!$D$123),"-",
IF(AND(M99="07",N99&gt;=L_Conversion!$C$124,N99&lt;=L_Conversion!$D$124),"-",
IF(AND(M99="08",N99&gt;=L_Conversion!$C$125,N99&lt;=L_Conversion!$D$125),"-",
IF(AND(M99="09",N99&gt;=L_Conversion!$C$126,N99&lt;=L_Conversion!$D$126),"-",
IF(AND(M99="10",N99&gt;=L_Conversion!$C$127,N99&lt;=L_Conversion!$D$127),"-",
IF(AND(M99="11",N99&gt;=L_Conversion!$C$128,N99&lt;=L_Conversion!$D$128),"-",
IF(AND(M99="12",N99&gt;=L_Conversion!$C$129,N99&lt;=L_Conversion!$D$129),"-",
IF(AND(M99="13",N99&gt;=L_Conversion!$C$116,N99&lt;=L_Conversion!$D$116),"-",
IF(AND(M99="14",N99&gt;=L_Conversion!$C$117,N99&lt;=L_Conversion!$D$117),"-",
"PRIMER_DIA fuera de rango")))))))))))))))</f>
        <v>-</v>
      </c>
      <c r="AS99" s="86" t="str">
        <f t="shared" si="40"/>
        <v>-</v>
      </c>
      <c r="AT99" s="86" t="str">
        <f t="shared" si="41"/>
        <v>-</v>
      </c>
      <c r="AU99" s="86" t="str">
        <f t="shared" si="42"/>
        <v>-</v>
      </c>
      <c r="AV99" s="86" t="str">
        <f t="shared" si="43"/>
        <v>-</v>
      </c>
      <c r="AW99" s="86" t="str">
        <f t="shared" si="44"/>
        <v>-</v>
      </c>
      <c r="AX99" s="86" t="str">
        <f t="shared" si="45"/>
        <v>-</v>
      </c>
      <c r="AY99" s="86" t="str">
        <f t="shared" si="46"/>
        <v>-</v>
      </c>
      <c r="AZ99" s="86" t="str">
        <f t="shared" si="47"/>
        <v>-</v>
      </c>
      <c r="BA99" s="86" t="str">
        <f t="shared" si="48"/>
        <v>-</v>
      </c>
      <c r="BB99" s="86" t="str">
        <f t="shared" si="49"/>
        <v>-</v>
      </c>
      <c r="BC99" s="86" t="str">
        <f t="shared" si="50"/>
        <v>-</v>
      </c>
      <c r="BD99" s="86" t="str">
        <f t="shared" si="51"/>
        <v>-</v>
      </c>
      <c r="BE99" s="86" t="str">
        <f t="shared" si="52"/>
        <v>-</v>
      </c>
      <c r="BF99" s="86" t="str">
        <f t="shared" si="53"/>
        <v>-</v>
      </c>
    </row>
    <row r="100" spans="1:58" x14ac:dyDescent="0.2">
      <c r="A100" s="80" t="s">
        <v>1144</v>
      </c>
      <c r="B100" s="92" t="s">
        <v>76</v>
      </c>
      <c r="C100" s="202">
        <v>12025018</v>
      </c>
      <c r="D100" s="203">
        <v>3</v>
      </c>
      <c r="E100" s="204" t="s">
        <v>1229</v>
      </c>
      <c r="F100" s="204" t="s">
        <v>1152</v>
      </c>
      <c r="G100" s="204" t="s">
        <v>1230</v>
      </c>
      <c r="H100" s="205" t="s">
        <v>1033</v>
      </c>
      <c r="I100" s="205" t="s">
        <v>662</v>
      </c>
      <c r="J100" s="203">
        <v>80</v>
      </c>
      <c r="K100" s="204" t="s">
        <v>561</v>
      </c>
      <c r="L100" s="206" t="s">
        <v>502</v>
      </c>
      <c r="M100" s="210" t="s">
        <v>18</v>
      </c>
      <c r="N100" s="211">
        <v>45681</v>
      </c>
      <c r="O100" s="207">
        <v>30</v>
      </c>
      <c r="P100" s="203">
        <v>1</v>
      </c>
      <c r="Q100" s="205" t="s">
        <v>23</v>
      </c>
      <c r="R100" s="205" t="s">
        <v>11</v>
      </c>
      <c r="S100" s="205" t="s">
        <v>23</v>
      </c>
      <c r="T100" s="207">
        <v>30</v>
      </c>
      <c r="U100" s="208" t="s">
        <v>11</v>
      </c>
      <c r="V100" s="212" t="s">
        <v>11</v>
      </c>
      <c r="W100" s="212" t="s">
        <v>19</v>
      </c>
      <c r="X100" s="209">
        <v>3139631</v>
      </c>
      <c r="Y100" s="213" t="s">
        <v>735</v>
      </c>
      <c r="Z100" s="209">
        <v>30</v>
      </c>
      <c r="AA100" s="209">
        <v>3139631</v>
      </c>
      <c r="AB100" s="209">
        <v>3139631</v>
      </c>
      <c r="AC100" s="178" t="str">
        <f>IF(OR(M100="13",M100="14",P100=8),"",IF(AND(OR(S100="AUTORIZADO", S100="PENDIENTE", S100="REDUCIDO", S100="AMPLIADO"),L100&lt;&gt;"HONORARIO" ), CONCATENATE(IF(H100="X","H",H100),"_",IF(OR(P100=5,P100=6),_xlfn.CONCAT(P100,"A"),P100),"_",VLOOKUP(T100,Datos!$B$2:$C$5,2,TRUE)),""))</f>
        <v>M_1_[11 +]</v>
      </c>
      <c r="AD100" s="178">
        <f t="shared" si="27"/>
        <v>6279262</v>
      </c>
      <c r="AE100" s="82" t="str">
        <f t="shared" si="28"/>
        <v>-</v>
      </c>
      <c r="AF100" s="83" t="str">
        <f t="shared" si="29"/>
        <v>070601</v>
      </c>
      <c r="AG100" s="84"/>
      <c r="AH100" s="85" t="str">
        <f t="shared" si="30"/>
        <v>Corporación de Fomento de la Producción</v>
      </c>
      <c r="AI100" s="82" t="str">
        <f t="shared" si="31"/>
        <v>-</v>
      </c>
      <c r="AJ100" s="82">
        <f t="shared" si="32"/>
        <v>3</v>
      </c>
      <c r="AK100" s="82" t="str">
        <f t="shared" si="33"/>
        <v>-</v>
      </c>
      <c r="AL100" s="82" t="str">
        <f t="shared" si="34"/>
        <v>Identifica este registro como MUJER</v>
      </c>
      <c r="AM100" s="82" t="str">
        <f t="shared" si="35"/>
        <v>-</v>
      </c>
      <c r="AN100" s="82" t="str">
        <f t="shared" si="36"/>
        <v>-</v>
      </c>
      <c r="AO100" s="82" t="str">
        <f t="shared" si="37"/>
        <v>-</v>
      </c>
      <c r="AP100" s="57" t="str">
        <f t="shared" si="38"/>
        <v>-</v>
      </c>
      <c r="AQ100" s="86" t="str">
        <f t="shared" si="39"/>
        <v>-</v>
      </c>
      <c r="AR100" s="86" t="str">
        <f>IF(N100="","PRIMER_DIA en blanco",
IF(AND(M100="01",N100&gt;=L_Conversion!$C$118,N100&lt;=L_Conversion!$D$118),"-",
IF(AND(M100="02",N100&gt;=L_Conversion!$C$119,N100&lt;=L_Conversion!$D$119),"-",
IF(AND(M100="03",N100&gt;=L_Conversion!$C$120,N100&lt;=L_Conversion!$D$120),"-",
IF(AND(M100="04",N100&gt;=L_Conversion!$C$121,N100&lt;=L_Conversion!$D$121),"-",
IF(AND(M100="05",N100&gt;=L_Conversion!$C$122,N100&lt;=L_Conversion!$D$122),"-",
IF(AND(M100="06",N100&gt;=L_Conversion!$C$123,N100&lt;=L_Conversion!$D$123),"-",
IF(AND(M100="07",N100&gt;=L_Conversion!$C$124,N100&lt;=L_Conversion!$D$124),"-",
IF(AND(M100="08",N100&gt;=L_Conversion!$C$125,N100&lt;=L_Conversion!$D$125),"-",
IF(AND(M100="09",N100&gt;=L_Conversion!$C$126,N100&lt;=L_Conversion!$D$126),"-",
IF(AND(M100="10",N100&gt;=L_Conversion!$C$127,N100&lt;=L_Conversion!$D$127),"-",
IF(AND(M100="11",N100&gt;=L_Conversion!$C$128,N100&lt;=L_Conversion!$D$128),"-",
IF(AND(M100="12",N100&gt;=L_Conversion!$C$129,N100&lt;=L_Conversion!$D$129),"-",
IF(AND(M100="13",N100&gt;=L_Conversion!$C$116,N100&lt;=L_Conversion!$D$116),"-",
IF(AND(M100="14",N100&gt;=L_Conversion!$C$117,N100&lt;=L_Conversion!$D$117),"-",
"PRIMER_DIA fuera de rango")))))))))))))))</f>
        <v>-</v>
      </c>
      <c r="AS100" s="86" t="str">
        <f t="shared" si="40"/>
        <v>-</v>
      </c>
      <c r="AT100" s="86" t="str">
        <f t="shared" si="41"/>
        <v>-</v>
      </c>
      <c r="AU100" s="86" t="str">
        <f t="shared" si="42"/>
        <v>-</v>
      </c>
      <c r="AV100" s="86" t="str">
        <f t="shared" si="43"/>
        <v>-</v>
      </c>
      <c r="AW100" s="86" t="str">
        <f t="shared" si="44"/>
        <v>-</v>
      </c>
      <c r="AX100" s="86" t="str">
        <f t="shared" si="45"/>
        <v>-</v>
      </c>
      <c r="AY100" s="86" t="str">
        <f t="shared" si="46"/>
        <v>-</v>
      </c>
      <c r="AZ100" s="86" t="str">
        <f t="shared" si="47"/>
        <v>-</v>
      </c>
      <c r="BA100" s="86" t="str">
        <f t="shared" si="48"/>
        <v>-</v>
      </c>
      <c r="BB100" s="86" t="str">
        <f t="shared" si="49"/>
        <v>-</v>
      </c>
      <c r="BC100" s="86" t="str">
        <f t="shared" si="50"/>
        <v>-</v>
      </c>
      <c r="BD100" s="86" t="str">
        <f t="shared" si="51"/>
        <v>-</v>
      </c>
      <c r="BE100" s="86" t="str">
        <f t="shared" si="52"/>
        <v>-</v>
      </c>
      <c r="BF100" s="86" t="str">
        <f t="shared" si="53"/>
        <v>-</v>
      </c>
    </row>
    <row r="101" spans="1:58" x14ac:dyDescent="0.2">
      <c r="A101" s="80" t="s">
        <v>1144</v>
      </c>
      <c r="B101" s="92" t="s">
        <v>76</v>
      </c>
      <c r="C101" s="202">
        <v>18303226</v>
      </c>
      <c r="D101" s="203">
        <v>7</v>
      </c>
      <c r="E101" s="204" t="s">
        <v>1391</v>
      </c>
      <c r="F101" s="204" t="s">
        <v>1392</v>
      </c>
      <c r="G101" s="204" t="s">
        <v>1186</v>
      </c>
      <c r="H101" s="205" t="s">
        <v>1033</v>
      </c>
      <c r="I101" s="205" t="s">
        <v>662</v>
      </c>
      <c r="J101" s="203">
        <v>80</v>
      </c>
      <c r="K101" s="204" t="s">
        <v>567</v>
      </c>
      <c r="L101" s="206" t="s">
        <v>502</v>
      </c>
      <c r="M101" s="210" t="s">
        <v>18</v>
      </c>
      <c r="N101" s="211">
        <v>45681</v>
      </c>
      <c r="O101" s="207">
        <v>15</v>
      </c>
      <c r="P101" s="203">
        <v>1</v>
      </c>
      <c r="Q101" s="205" t="s">
        <v>23</v>
      </c>
      <c r="R101" s="205" t="s">
        <v>11</v>
      </c>
      <c r="S101" s="205" t="s">
        <v>23</v>
      </c>
      <c r="T101" s="207">
        <v>15</v>
      </c>
      <c r="U101" s="208" t="s">
        <v>11</v>
      </c>
      <c r="V101" s="212" t="s">
        <v>11</v>
      </c>
      <c r="W101" s="212" t="s">
        <v>19</v>
      </c>
      <c r="X101" s="209">
        <v>1165415</v>
      </c>
      <c r="Y101" s="213" t="s">
        <v>735</v>
      </c>
      <c r="Z101" s="209">
        <v>15</v>
      </c>
      <c r="AA101" s="209">
        <v>1165415</v>
      </c>
      <c r="AB101" s="209">
        <v>1165415</v>
      </c>
      <c r="AC101" s="178" t="str">
        <f>IF(OR(M101="13",M101="14",P101=8),"",IF(AND(OR(S101="AUTORIZADO", S101="PENDIENTE", S101="REDUCIDO", S101="AMPLIADO"),L101&lt;&gt;"HONORARIO" ), CONCATENATE(IF(H101="X","H",H101),"_",IF(OR(P101=5,P101=6),_xlfn.CONCAT(P101,"A"),P101),"_",VLOOKUP(T101,Datos!$B$2:$C$5,2,TRUE)),""))</f>
        <v>M_1_[11 +]</v>
      </c>
      <c r="AD101" s="178">
        <f t="shared" si="27"/>
        <v>2330830</v>
      </c>
      <c r="AE101" s="82" t="str">
        <f t="shared" si="28"/>
        <v>-</v>
      </c>
      <c r="AF101" s="83" t="str">
        <f t="shared" si="29"/>
        <v>070601</v>
      </c>
      <c r="AG101" s="84"/>
      <c r="AH101" s="85" t="str">
        <f t="shared" si="30"/>
        <v>Corporación de Fomento de la Producción</v>
      </c>
      <c r="AI101" s="82" t="str">
        <f t="shared" si="31"/>
        <v>-</v>
      </c>
      <c r="AJ101" s="82">
        <f t="shared" si="32"/>
        <v>7</v>
      </c>
      <c r="AK101" s="82" t="str">
        <f t="shared" si="33"/>
        <v>-</v>
      </c>
      <c r="AL101" s="82" t="str">
        <f t="shared" si="34"/>
        <v>Identifica este registro como MUJER</v>
      </c>
      <c r="AM101" s="82" t="str">
        <f t="shared" si="35"/>
        <v>-</v>
      </c>
      <c r="AN101" s="82" t="str">
        <f t="shared" si="36"/>
        <v>-</v>
      </c>
      <c r="AO101" s="82" t="str">
        <f t="shared" si="37"/>
        <v>-</v>
      </c>
      <c r="AP101" s="57" t="str">
        <f t="shared" si="38"/>
        <v>-</v>
      </c>
      <c r="AQ101" s="86" t="str">
        <f t="shared" si="39"/>
        <v>-</v>
      </c>
      <c r="AR101" s="86" t="str">
        <f>IF(N101="","PRIMER_DIA en blanco",
IF(AND(M101="01",N101&gt;=L_Conversion!$C$118,N101&lt;=L_Conversion!$D$118),"-",
IF(AND(M101="02",N101&gt;=L_Conversion!$C$119,N101&lt;=L_Conversion!$D$119),"-",
IF(AND(M101="03",N101&gt;=L_Conversion!$C$120,N101&lt;=L_Conversion!$D$120),"-",
IF(AND(M101="04",N101&gt;=L_Conversion!$C$121,N101&lt;=L_Conversion!$D$121),"-",
IF(AND(M101="05",N101&gt;=L_Conversion!$C$122,N101&lt;=L_Conversion!$D$122),"-",
IF(AND(M101="06",N101&gt;=L_Conversion!$C$123,N101&lt;=L_Conversion!$D$123),"-",
IF(AND(M101="07",N101&gt;=L_Conversion!$C$124,N101&lt;=L_Conversion!$D$124),"-",
IF(AND(M101="08",N101&gt;=L_Conversion!$C$125,N101&lt;=L_Conversion!$D$125),"-",
IF(AND(M101="09",N101&gt;=L_Conversion!$C$126,N101&lt;=L_Conversion!$D$126),"-",
IF(AND(M101="10",N101&gt;=L_Conversion!$C$127,N101&lt;=L_Conversion!$D$127),"-",
IF(AND(M101="11",N101&gt;=L_Conversion!$C$128,N101&lt;=L_Conversion!$D$128),"-",
IF(AND(M101="12",N101&gt;=L_Conversion!$C$129,N101&lt;=L_Conversion!$D$129),"-",
IF(AND(M101="13",N101&gt;=L_Conversion!$C$116,N101&lt;=L_Conversion!$D$116),"-",
IF(AND(M101="14",N101&gt;=L_Conversion!$C$117,N101&lt;=L_Conversion!$D$117),"-",
"PRIMER_DIA fuera de rango")))))))))))))))</f>
        <v>-</v>
      </c>
      <c r="AS101" s="86" t="str">
        <f t="shared" si="40"/>
        <v>-</v>
      </c>
      <c r="AT101" s="86" t="str">
        <f t="shared" si="41"/>
        <v>-</v>
      </c>
      <c r="AU101" s="86" t="str">
        <f t="shared" si="42"/>
        <v>-</v>
      </c>
      <c r="AV101" s="86" t="str">
        <f t="shared" si="43"/>
        <v>-</v>
      </c>
      <c r="AW101" s="86" t="str">
        <f t="shared" si="44"/>
        <v>-</v>
      </c>
      <c r="AX101" s="86" t="str">
        <f t="shared" si="45"/>
        <v>-</v>
      </c>
      <c r="AY101" s="86" t="str">
        <f t="shared" si="46"/>
        <v>-</v>
      </c>
      <c r="AZ101" s="86" t="str">
        <f t="shared" si="47"/>
        <v>-</v>
      </c>
      <c r="BA101" s="86" t="str">
        <f t="shared" si="48"/>
        <v>-</v>
      </c>
      <c r="BB101" s="86" t="str">
        <f t="shared" si="49"/>
        <v>-</v>
      </c>
      <c r="BC101" s="86" t="str">
        <f t="shared" si="50"/>
        <v>-</v>
      </c>
      <c r="BD101" s="86" t="str">
        <f t="shared" si="51"/>
        <v>-</v>
      </c>
      <c r="BE101" s="86" t="str">
        <f t="shared" si="52"/>
        <v>-</v>
      </c>
      <c r="BF101" s="86" t="str">
        <f t="shared" si="53"/>
        <v>-</v>
      </c>
    </row>
    <row r="102" spans="1:58" x14ac:dyDescent="0.2">
      <c r="A102" s="80" t="s">
        <v>1144</v>
      </c>
      <c r="B102" s="92" t="s">
        <v>76</v>
      </c>
      <c r="C102" s="202">
        <v>13450578</v>
      </c>
      <c r="D102" s="203">
        <v>8</v>
      </c>
      <c r="E102" s="204" t="s">
        <v>1393</v>
      </c>
      <c r="F102" s="204" t="s">
        <v>1394</v>
      </c>
      <c r="G102" s="204" t="s">
        <v>1299</v>
      </c>
      <c r="H102" s="205" t="s">
        <v>1033</v>
      </c>
      <c r="I102" s="205" t="s">
        <v>662</v>
      </c>
      <c r="J102" s="203">
        <v>80</v>
      </c>
      <c r="K102" s="204" t="s">
        <v>567</v>
      </c>
      <c r="L102" s="206" t="s">
        <v>502</v>
      </c>
      <c r="M102" s="210" t="s">
        <v>18</v>
      </c>
      <c r="N102" s="211">
        <v>45681</v>
      </c>
      <c r="O102" s="207">
        <v>30</v>
      </c>
      <c r="P102" s="203">
        <v>1</v>
      </c>
      <c r="Q102" s="205" t="s">
        <v>23</v>
      </c>
      <c r="R102" s="205" t="s">
        <v>11</v>
      </c>
      <c r="S102" s="205" t="s">
        <v>23</v>
      </c>
      <c r="T102" s="207">
        <v>30</v>
      </c>
      <c r="U102" s="208" t="s">
        <v>11</v>
      </c>
      <c r="V102" s="212" t="s">
        <v>11</v>
      </c>
      <c r="W102" s="212" t="s">
        <v>19</v>
      </c>
      <c r="X102" s="209">
        <v>876390</v>
      </c>
      <c r="Y102" s="213" t="s">
        <v>735</v>
      </c>
      <c r="Z102" s="209">
        <v>30</v>
      </c>
      <c r="AA102" s="209">
        <v>876390</v>
      </c>
      <c r="AB102" s="209">
        <v>876390</v>
      </c>
      <c r="AC102" s="178" t="str">
        <f>IF(OR(M102="13",M102="14",P102=8),"",IF(AND(OR(S102="AUTORIZADO", S102="PENDIENTE", S102="REDUCIDO", S102="AMPLIADO"),L102&lt;&gt;"HONORARIO" ), CONCATENATE(IF(H102="X","H",H102),"_",IF(OR(P102=5,P102=6),_xlfn.CONCAT(P102,"A"),P102),"_",VLOOKUP(T102,Datos!$B$2:$C$5,2,TRUE)),""))</f>
        <v>M_1_[11 +]</v>
      </c>
      <c r="AD102" s="178">
        <f t="shared" si="27"/>
        <v>1752780</v>
      </c>
      <c r="AE102" s="82" t="str">
        <f t="shared" si="28"/>
        <v>-</v>
      </c>
      <c r="AF102" s="83" t="str">
        <f t="shared" si="29"/>
        <v>070601</v>
      </c>
      <c r="AG102" s="84"/>
      <c r="AH102" s="85" t="str">
        <f t="shared" si="30"/>
        <v>Corporación de Fomento de la Producción</v>
      </c>
      <c r="AI102" s="82" t="str">
        <f t="shared" si="31"/>
        <v>-</v>
      </c>
      <c r="AJ102" s="82">
        <f t="shared" si="32"/>
        <v>8</v>
      </c>
      <c r="AK102" s="82" t="str">
        <f t="shared" si="33"/>
        <v>-</v>
      </c>
      <c r="AL102" s="82" t="str">
        <f t="shared" si="34"/>
        <v>Identifica este registro como MUJER</v>
      </c>
      <c r="AM102" s="82" t="str">
        <f t="shared" si="35"/>
        <v>-</v>
      </c>
      <c r="AN102" s="82" t="str">
        <f t="shared" si="36"/>
        <v>-</v>
      </c>
      <c r="AO102" s="82" t="str">
        <f t="shared" si="37"/>
        <v>-</v>
      </c>
      <c r="AP102" s="57" t="str">
        <f t="shared" si="38"/>
        <v>-</v>
      </c>
      <c r="AQ102" s="86" t="str">
        <f t="shared" si="39"/>
        <v>-</v>
      </c>
      <c r="AR102" s="86" t="str">
        <f>IF(N102="","PRIMER_DIA en blanco",
IF(AND(M102="01",N102&gt;=L_Conversion!$C$118,N102&lt;=L_Conversion!$D$118),"-",
IF(AND(M102="02",N102&gt;=L_Conversion!$C$119,N102&lt;=L_Conversion!$D$119),"-",
IF(AND(M102="03",N102&gt;=L_Conversion!$C$120,N102&lt;=L_Conversion!$D$120),"-",
IF(AND(M102="04",N102&gt;=L_Conversion!$C$121,N102&lt;=L_Conversion!$D$121),"-",
IF(AND(M102="05",N102&gt;=L_Conversion!$C$122,N102&lt;=L_Conversion!$D$122),"-",
IF(AND(M102="06",N102&gt;=L_Conversion!$C$123,N102&lt;=L_Conversion!$D$123),"-",
IF(AND(M102="07",N102&gt;=L_Conversion!$C$124,N102&lt;=L_Conversion!$D$124),"-",
IF(AND(M102="08",N102&gt;=L_Conversion!$C$125,N102&lt;=L_Conversion!$D$125),"-",
IF(AND(M102="09",N102&gt;=L_Conversion!$C$126,N102&lt;=L_Conversion!$D$126),"-",
IF(AND(M102="10",N102&gt;=L_Conversion!$C$127,N102&lt;=L_Conversion!$D$127),"-",
IF(AND(M102="11",N102&gt;=L_Conversion!$C$128,N102&lt;=L_Conversion!$D$128),"-",
IF(AND(M102="12",N102&gt;=L_Conversion!$C$129,N102&lt;=L_Conversion!$D$129),"-",
IF(AND(M102="13",N102&gt;=L_Conversion!$C$116,N102&lt;=L_Conversion!$D$116),"-",
IF(AND(M102="14",N102&gt;=L_Conversion!$C$117,N102&lt;=L_Conversion!$D$117),"-",
"PRIMER_DIA fuera de rango")))))))))))))))</f>
        <v>-</v>
      </c>
      <c r="AS102" s="86" t="str">
        <f t="shared" si="40"/>
        <v>-</v>
      </c>
      <c r="AT102" s="86" t="str">
        <f t="shared" si="41"/>
        <v>-</v>
      </c>
      <c r="AU102" s="86" t="str">
        <f t="shared" si="42"/>
        <v>-</v>
      </c>
      <c r="AV102" s="86" t="str">
        <f t="shared" si="43"/>
        <v>-</v>
      </c>
      <c r="AW102" s="86" t="str">
        <f t="shared" si="44"/>
        <v>-</v>
      </c>
      <c r="AX102" s="86" t="str">
        <f t="shared" si="45"/>
        <v>-</v>
      </c>
      <c r="AY102" s="86" t="str">
        <f t="shared" si="46"/>
        <v>-</v>
      </c>
      <c r="AZ102" s="86" t="str">
        <f t="shared" si="47"/>
        <v>-</v>
      </c>
      <c r="BA102" s="86" t="str">
        <f t="shared" si="48"/>
        <v>-</v>
      </c>
      <c r="BB102" s="86" t="str">
        <f t="shared" si="49"/>
        <v>-</v>
      </c>
      <c r="BC102" s="86" t="str">
        <f t="shared" si="50"/>
        <v>-</v>
      </c>
      <c r="BD102" s="86" t="str">
        <f t="shared" si="51"/>
        <v>-</v>
      </c>
      <c r="BE102" s="86" t="str">
        <f t="shared" si="52"/>
        <v>-</v>
      </c>
      <c r="BF102" s="86" t="str">
        <f t="shared" si="53"/>
        <v>-</v>
      </c>
    </row>
    <row r="103" spans="1:58" x14ac:dyDescent="0.2">
      <c r="A103" s="80" t="s">
        <v>1144</v>
      </c>
      <c r="B103" s="92" t="s">
        <v>886</v>
      </c>
      <c r="C103" s="202">
        <v>15478578</v>
      </c>
      <c r="D103" s="203">
        <v>7</v>
      </c>
      <c r="E103" s="204" t="s">
        <v>1188</v>
      </c>
      <c r="F103" s="204" t="s">
        <v>1181</v>
      </c>
      <c r="G103" s="204" t="s">
        <v>1364</v>
      </c>
      <c r="H103" s="205" t="s">
        <v>1033</v>
      </c>
      <c r="I103" s="205" t="s">
        <v>662</v>
      </c>
      <c r="J103" s="203">
        <v>80</v>
      </c>
      <c r="K103" s="204" t="s">
        <v>563</v>
      </c>
      <c r="L103" s="206" t="s">
        <v>502</v>
      </c>
      <c r="M103" s="210" t="s">
        <v>18</v>
      </c>
      <c r="N103" s="211">
        <v>45681</v>
      </c>
      <c r="O103" s="207">
        <v>7</v>
      </c>
      <c r="P103" s="203">
        <v>1</v>
      </c>
      <c r="Q103" s="205" t="s">
        <v>23</v>
      </c>
      <c r="R103" s="205" t="s">
        <v>11</v>
      </c>
      <c r="S103" s="205" t="s">
        <v>23</v>
      </c>
      <c r="T103" s="207">
        <v>7</v>
      </c>
      <c r="U103" s="208" t="s">
        <v>11</v>
      </c>
      <c r="V103" s="212" t="s">
        <v>11</v>
      </c>
      <c r="W103" s="212" t="s">
        <v>19</v>
      </c>
      <c r="X103" s="209">
        <v>328127</v>
      </c>
      <c r="Y103" s="213" t="s">
        <v>735</v>
      </c>
      <c r="Z103" s="209">
        <v>7</v>
      </c>
      <c r="AA103" s="209">
        <v>328127</v>
      </c>
      <c r="AB103" s="209">
        <v>328127</v>
      </c>
      <c r="AC103" s="178" t="str">
        <f>IF(OR(M103="13",M103="14",P103=8),"",IF(AND(OR(S103="AUTORIZADO", S103="PENDIENTE", S103="REDUCIDO", S103="AMPLIADO"),L103&lt;&gt;"HONORARIO" ), CONCATENATE(IF(H103="X","H",H103),"_",IF(OR(P103=5,P103=6),_xlfn.CONCAT(P103,"A"),P103),"_",VLOOKUP(T103,Datos!$B$2:$C$5,2,TRUE)),""))</f>
        <v>M_1_[4 a 10]</v>
      </c>
      <c r="AD103" s="178">
        <f t="shared" si="27"/>
        <v>656254</v>
      </c>
      <c r="AE103" s="82" t="str">
        <f t="shared" si="28"/>
        <v>-</v>
      </c>
      <c r="AF103" s="83" t="str">
        <f t="shared" si="29"/>
        <v>070606</v>
      </c>
      <c r="AG103" s="84"/>
      <c r="AH103" s="85" t="str">
        <f t="shared" si="30"/>
        <v>Corporación de Fomento de la Producción</v>
      </c>
      <c r="AI103" s="82" t="str">
        <f t="shared" si="31"/>
        <v>-</v>
      </c>
      <c r="AJ103" s="82">
        <f t="shared" si="32"/>
        <v>7</v>
      </c>
      <c r="AK103" s="82" t="str">
        <f t="shared" si="33"/>
        <v>-</v>
      </c>
      <c r="AL103" s="82" t="str">
        <f t="shared" si="34"/>
        <v>Identifica este registro como MUJER</v>
      </c>
      <c r="AM103" s="82" t="str">
        <f t="shared" si="35"/>
        <v>-</v>
      </c>
      <c r="AN103" s="82" t="str">
        <f t="shared" si="36"/>
        <v>-</v>
      </c>
      <c r="AO103" s="82" t="str">
        <f t="shared" si="37"/>
        <v>-</v>
      </c>
      <c r="AP103" s="57" t="str">
        <f t="shared" si="38"/>
        <v>-</v>
      </c>
      <c r="AQ103" s="86" t="str">
        <f t="shared" si="39"/>
        <v>-</v>
      </c>
      <c r="AR103" s="86" t="str">
        <f>IF(N103="","PRIMER_DIA en blanco",
IF(AND(M103="01",N103&gt;=L_Conversion!$C$118,N103&lt;=L_Conversion!$D$118),"-",
IF(AND(M103="02",N103&gt;=L_Conversion!$C$119,N103&lt;=L_Conversion!$D$119),"-",
IF(AND(M103="03",N103&gt;=L_Conversion!$C$120,N103&lt;=L_Conversion!$D$120),"-",
IF(AND(M103="04",N103&gt;=L_Conversion!$C$121,N103&lt;=L_Conversion!$D$121),"-",
IF(AND(M103="05",N103&gt;=L_Conversion!$C$122,N103&lt;=L_Conversion!$D$122),"-",
IF(AND(M103="06",N103&gt;=L_Conversion!$C$123,N103&lt;=L_Conversion!$D$123),"-",
IF(AND(M103="07",N103&gt;=L_Conversion!$C$124,N103&lt;=L_Conversion!$D$124),"-",
IF(AND(M103="08",N103&gt;=L_Conversion!$C$125,N103&lt;=L_Conversion!$D$125),"-",
IF(AND(M103="09",N103&gt;=L_Conversion!$C$126,N103&lt;=L_Conversion!$D$126),"-",
IF(AND(M103="10",N103&gt;=L_Conversion!$C$127,N103&lt;=L_Conversion!$D$127),"-",
IF(AND(M103="11",N103&gt;=L_Conversion!$C$128,N103&lt;=L_Conversion!$D$128),"-",
IF(AND(M103="12",N103&gt;=L_Conversion!$C$129,N103&lt;=L_Conversion!$D$129),"-",
IF(AND(M103="13",N103&gt;=L_Conversion!$C$116,N103&lt;=L_Conversion!$D$116),"-",
IF(AND(M103="14",N103&gt;=L_Conversion!$C$117,N103&lt;=L_Conversion!$D$117),"-",
"PRIMER_DIA fuera de rango")))))))))))))))</f>
        <v>-</v>
      </c>
      <c r="AS103" s="86" t="str">
        <f t="shared" si="40"/>
        <v>-</v>
      </c>
      <c r="AT103" s="86" t="str">
        <f t="shared" si="41"/>
        <v>-</v>
      </c>
      <c r="AU103" s="86" t="str">
        <f t="shared" si="42"/>
        <v>-</v>
      </c>
      <c r="AV103" s="86" t="str">
        <f t="shared" si="43"/>
        <v>-</v>
      </c>
      <c r="AW103" s="86" t="str">
        <f t="shared" si="44"/>
        <v>-</v>
      </c>
      <c r="AX103" s="86" t="str">
        <f t="shared" si="45"/>
        <v>-</v>
      </c>
      <c r="AY103" s="86" t="str">
        <f t="shared" si="46"/>
        <v>-</v>
      </c>
      <c r="AZ103" s="86" t="str">
        <f t="shared" si="47"/>
        <v>-</v>
      </c>
      <c r="BA103" s="86" t="str">
        <f t="shared" si="48"/>
        <v>-</v>
      </c>
      <c r="BB103" s="86" t="str">
        <f t="shared" si="49"/>
        <v>-</v>
      </c>
      <c r="BC103" s="86" t="str">
        <f t="shared" si="50"/>
        <v>-</v>
      </c>
      <c r="BD103" s="86" t="str">
        <f t="shared" si="51"/>
        <v>-</v>
      </c>
      <c r="BE103" s="86" t="str">
        <f t="shared" si="52"/>
        <v>-</v>
      </c>
      <c r="BF103" s="86" t="str">
        <f t="shared" si="53"/>
        <v>-</v>
      </c>
    </row>
    <row r="104" spans="1:58" x14ac:dyDescent="0.2">
      <c r="A104" s="80" t="s">
        <v>1144</v>
      </c>
      <c r="B104" s="92" t="s">
        <v>76</v>
      </c>
      <c r="C104" s="202">
        <v>13984355</v>
      </c>
      <c r="D104" s="203" t="s">
        <v>1151</v>
      </c>
      <c r="E104" s="204" t="s">
        <v>1271</v>
      </c>
      <c r="F104" s="204" t="s">
        <v>1272</v>
      </c>
      <c r="G104" s="204" t="s">
        <v>1273</v>
      </c>
      <c r="H104" s="205" t="s">
        <v>1033</v>
      </c>
      <c r="I104" s="205" t="s">
        <v>662</v>
      </c>
      <c r="J104" s="203">
        <v>80</v>
      </c>
      <c r="K104" s="204" t="s">
        <v>563</v>
      </c>
      <c r="L104" s="206" t="s">
        <v>502</v>
      </c>
      <c r="M104" s="210" t="s">
        <v>18</v>
      </c>
      <c r="N104" s="211">
        <v>45684</v>
      </c>
      <c r="O104" s="207">
        <v>4</v>
      </c>
      <c r="P104" s="203">
        <v>1</v>
      </c>
      <c r="Q104" s="205" t="s">
        <v>23</v>
      </c>
      <c r="R104" s="205" t="s">
        <v>11</v>
      </c>
      <c r="S104" s="205" t="s">
        <v>23</v>
      </c>
      <c r="T104" s="207">
        <v>4</v>
      </c>
      <c r="U104" s="208" t="s">
        <v>11</v>
      </c>
      <c r="V104" s="212" t="s">
        <v>11</v>
      </c>
      <c r="W104" s="212" t="s">
        <v>19</v>
      </c>
      <c r="X104" s="209">
        <v>152067</v>
      </c>
      <c r="Y104" s="213" t="s">
        <v>735</v>
      </c>
      <c r="Z104" s="209">
        <v>4</v>
      </c>
      <c r="AA104" s="209">
        <v>152067</v>
      </c>
      <c r="AB104" s="209">
        <v>152067</v>
      </c>
      <c r="AC104" s="178" t="str">
        <f>IF(OR(M104="13",M104="14",P104=8),"",IF(AND(OR(S104="AUTORIZADO", S104="PENDIENTE", S104="REDUCIDO", S104="AMPLIADO"),L104&lt;&gt;"HONORARIO" ), CONCATENATE(IF(H104="X","H",H104),"_",IF(OR(P104=5,P104=6),_xlfn.CONCAT(P104,"A"),P104),"_",VLOOKUP(T104,Datos!$B$2:$C$5,2,TRUE)),""))</f>
        <v>M_1_[4 a 10]</v>
      </c>
      <c r="AD104" s="178">
        <f t="shared" si="27"/>
        <v>304134</v>
      </c>
      <c r="AE104" s="82" t="str">
        <f t="shared" si="28"/>
        <v>-</v>
      </c>
      <c r="AF104" s="83" t="str">
        <f t="shared" si="29"/>
        <v>070601</v>
      </c>
      <c r="AG104" s="84"/>
      <c r="AH104" s="85" t="str">
        <f t="shared" si="30"/>
        <v>Corporación de Fomento de la Producción</v>
      </c>
      <c r="AI104" s="82" t="str">
        <f t="shared" si="31"/>
        <v>-</v>
      </c>
      <c r="AJ104" s="82" t="str">
        <f t="shared" si="32"/>
        <v>K</v>
      </c>
      <c r="AK104" s="82" t="str">
        <f t="shared" si="33"/>
        <v>-</v>
      </c>
      <c r="AL104" s="82" t="str">
        <f t="shared" si="34"/>
        <v>Identifica este registro como MUJER</v>
      </c>
      <c r="AM104" s="82" t="str">
        <f t="shared" si="35"/>
        <v>-</v>
      </c>
      <c r="AN104" s="82" t="str">
        <f t="shared" si="36"/>
        <v>-</v>
      </c>
      <c r="AO104" s="82" t="str">
        <f t="shared" si="37"/>
        <v>-</v>
      </c>
      <c r="AP104" s="57" t="str">
        <f t="shared" si="38"/>
        <v>-</v>
      </c>
      <c r="AQ104" s="86" t="str">
        <f t="shared" si="39"/>
        <v>-</v>
      </c>
      <c r="AR104" s="86" t="str">
        <f>IF(N104="","PRIMER_DIA en blanco",
IF(AND(M104="01",N104&gt;=L_Conversion!$C$118,N104&lt;=L_Conversion!$D$118),"-",
IF(AND(M104="02",N104&gt;=L_Conversion!$C$119,N104&lt;=L_Conversion!$D$119),"-",
IF(AND(M104="03",N104&gt;=L_Conversion!$C$120,N104&lt;=L_Conversion!$D$120),"-",
IF(AND(M104="04",N104&gt;=L_Conversion!$C$121,N104&lt;=L_Conversion!$D$121),"-",
IF(AND(M104="05",N104&gt;=L_Conversion!$C$122,N104&lt;=L_Conversion!$D$122),"-",
IF(AND(M104="06",N104&gt;=L_Conversion!$C$123,N104&lt;=L_Conversion!$D$123),"-",
IF(AND(M104="07",N104&gt;=L_Conversion!$C$124,N104&lt;=L_Conversion!$D$124),"-",
IF(AND(M104="08",N104&gt;=L_Conversion!$C$125,N104&lt;=L_Conversion!$D$125),"-",
IF(AND(M104="09",N104&gt;=L_Conversion!$C$126,N104&lt;=L_Conversion!$D$126),"-",
IF(AND(M104="10",N104&gt;=L_Conversion!$C$127,N104&lt;=L_Conversion!$D$127),"-",
IF(AND(M104="11",N104&gt;=L_Conversion!$C$128,N104&lt;=L_Conversion!$D$128),"-",
IF(AND(M104="12",N104&gt;=L_Conversion!$C$129,N104&lt;=L_Conversion!$D$129),"-",
IF(AND(M104="13",N104&gt;=L_Conversion!$C$116,N104&lt;=L_Conversion!$D$116),"-",
IF(AND(M104="14",N104&gt;=L_Conversion!$C$117,N104&lt;=L_Conversion!$D$117),"-",
"PRIMER_DIA fuera de rango")))))))))))))))</f>
        <v>-</v>
      </c>
      <c r="AS104" s="86" t="str">
        <f t="shared" si="40"/>
        <v>-</v>
      </c>
      <c r="AT104" s="86" t="str">
        <f t="shared" si="41"/>
        <v>-</v>
      </c>
      <c r="AU104" s="86" t="str">
        <f t="shared" si="42"/>
        <v>-</v>
      </c>
      <c r="AV104" s="86" t="str">
        <f t="shared" si="43"/>
        <v>-</v>
      </c>
      <c r="AW104" s="86" t="str">
        <f t="shared" si="44"/>
        <v>-</v>
      </c>
      <c r="AX104" s="86" t="str">
        <f t="shared" si="45"/>
        <v>-</v>
      </c>
      <c r="AY104" s="86" t="str">
        <f t="shared" si="46"/>
        <v>-</v>
      </c>
      <c r="AZ104" s="86" t="str">
        <f t="shared" si="47"/>
        <v>-</v>
      </c>
      <c r="BA104" s="86" t="str">
        <f t="shared" si="48"/>
        <v>-</v>
      </c>
      <c r="BB104" s="86" t="str">
        <f t="shared" si="49"/>
        <v>-</v>
      </c>
      <c r="BC104" s="86" t="str">
        <f t="shared" si="50"/>
        <v>-</v>
      </c>
      <c r="BD104" s="86" t="str">
        <f t="shared" si="51"/>
        <v>-</v>
      </c>
      <c r="BE104" s="86" t="str">
        <f t="shared" si="52"/>
        <v>-</v>
      </c>
      <c r="BF104" s="86" t="str">
        <f t="shared" si="53"/>
        <v>-</v>
      </c>
    </row>
    <row r="105" spans="1:58" x14ac:dyDescent="0.2">
      <c r="A105" s="80" t="s">
        <v>1144</v>
      </c>
      <c r="B105" s="92" t="s">
        <v>678</v>
      </c>
      <c r="C105" s="202">
        <v>9351262</v>
      </c>
      <c r="D105" s="203">
        <v>6</v>
      </c>
      <c r="E105" s="204" t="s">
        <v>1162</v>
      </c>
      <c r="F105" s="204" t="s">
        <v>1395</v>
      </c>
      <c r="G105" s="204" t="s">
        <v>1396</v>
      </c>
      <c r="H105" s="205" t="s">
        <v>1033</v>
      </c>
      <c r="I105" s="205" t="s">
        <v>663</v>
      </c>
      <c r="J105" s="203">
        <v>80</v>
      </c>
      <c r="K105" s="204" t="s">
        <v>563</v>
      </c>
      <c r="L105" s="206" t="s">
        <v>516</v>
      </c>
      <c r="M105" s="210" t="s">
        <v>18</v>
      </c>
      <c r="N105" s="211">
        <v>45684</v>
      </c>
      <c r="O105" s="207">
        <v>3</v>
      </c>
      <c r="P105" s="203">
        <v>1</v>
      </c>
      <c r="Q105" s="205" t="s">
        <v>23</v>
      </c>
      <c r="R105" s="205" t="s">
        <v>11</v>
      </c>
      <c r="S105" s="205" t="s">
        <v>23</v>
      </c>
      <c r="T105" s="207">
        <v>3</v>
      </c>
      <c r="U105" s="208" t="s">
        <v>11</v>
      </c>
      <c r="V105" s="212" t="s">
        <v>19</v>
      </c>
      <c r="W105" s="212" t="s">
        <v>19</v>
      </c>
      <c r="X105" s="209">
        <v>59168</v>
      </c>
      <c r="Y105" s="213" t="s">
        <v>735</v>
      </c>
      <c r="Z105" s="209">
        <v>3</v>
      </c>
      <c r="AA105" s="209">
        <v>59168</v>
      </c>
      <c r="AB105" s="209">
        <v>59168</v>
      </c>
      <c r="AC105" s="178" t="str">
        <f>IF(OR(M105="13",M105="14",P105=8),"",IF(AND(OR(S105="AUTORIZADO", S105="PENDIENTE", S105="REDUCIDO", S105="AMPLIADO"),L105&lt;&gt;"HONORARIO" ), CONCATENATE(IF(H105="X","H",H105),"_",IF(OR(P105=5,P105=6),_xlfn.CONCAT(P105,"A"),P105),"_",VLOOKUP(T105,Datos!$B$2:$C$5,2,TRUE)),""))</f>
        <v>M_1_[hasta 3]</v>
      </c>
      <c r="AD105" s="178">
        <f t="shared" si="27"/>
        <v>118336</v>
      </c>
      <c r="AE105" s="82" t="str">
        <f t="shared" si="28"/>
        <v>-</v>
      </c>
      <c r="AF105" s="83" t="str">
        <f t="shared" si="29"/>
        <v>Revisar</v>
      </c>
      <c r="AG105" s="84"/>
      <c r="AH105" s="85" t="str">
        <f t="shared" si="30"/>
        <v>Corporación de Fomento de la Producción</v>
      </c>
      <c r="AI105" s="82" t="str">
        <f t="shared" si="31"/>
        <v>-</v>
      </c>
      <c r="AJ105" s="82">
        <f t="shared" si="32"/>
        <v>6</v>
      </c>
      <c r="AK105" s="82" t="str">
        <f t="shared" si="33"/>
        <v>-</v>
      </c>
      <c r="AL105" s="82" t="str">
        <f t="shared" si="34"/>
        <v>Identifica este registro como MUJER</v>
      </c>
      <c r="AM105" s="82" t="str">
        <f t="shared" si="35"/>
        <v>-</v>
      </c>
      <c r="AN105" s="82" t="str">
        <f t="shared" si="36"/>
        <v>-</v>
      </c>
      <c r="AO105" s="82" t="str">
        <f t="shared" si="37"/>
        <v>-</v>
      </c>
      <c r="AP105" s="57" t="str">
        <f t="shared" si="38"/>
        <v>-</v>
      </c>
      <c r="AQ105" s="86" t="str">
        <f t="shared" si="39"/>
        <v>-</v>
      </c>
      <c r="AR105" s="86" t="str">
        <f>IF(N105="","PRIMER_DIA en blanco",
IF(AND(M105="01",N105&gt;=L_Conversion!$C$118,N105&lt;=L_Conversion!$D$118),"-",
IF(AND(M105="02",N105&gt;=L_Conversion!$C$119,N105&lt;=L_Conversion!$D$119),"-",
IF(AND(M105="03",N105&gt;=L_Conversion!$C$120,N105&lt;=L_Conversion!$D$120),"-",
IF(AND(M105="04",N105&gt;=L_Conversion!$C$121,N105&lt;=L_Conversion!$D$121),"-",
IF(AND(M105="05",N105&gt;=L_Conversion!$C$122,N105&lt;=L_Conversion!$D$122),"-",
IF(AND(M105="06",N105&gt;=L_Conversion!$C$123,N105&lt;=L_Conversion!$D$123),"-",
IF(AND(M105="07",N105&gt;=L_Conversion!$C$124,N105&lt;=L_Conversion!$D$124),"-",
IF(AND(M105="08",N105&gt;=L_Conversion!$C$125,N105&lt;=L_Conversion!$D$125),"-",
IF(AND(M105="09",N105&gt;=L_Conversion!$C$126,N105&lt;=L_Conversion!$D$126),"-",
IF(AND(M105="10",N105&gt;=L_Conversion!$C$127,N105&lt;=L_Conversion!$D$127),"-",
IF(AND(M105="11",N105&gt;=L_Conversion!$C$128,N105&lt;=L_Conversion!$D$128),"-",
IF(AND(M105="12",N105&gt;=L_Conversion!$C$129,N105&lt;=L_Conversion!$D$129),"-",
IF(AND(M105="13",N105&gt;=L_Conversion!$C$116,N105&lt;=L_Conversion!$D$116),"-",
IF(AND(M105="14",N105&gt;=L_Conversion!$C$117,N105&lt;=L_Conversion!$D$117),"-",
"PRIMER_DIA fuera de rango")))))))))))))))</f>
        <v>-</v>
      </c>
      <c r="AS105" s="86" t="str">
        <f t="shared" si="40"/>
        <v>-</v>
      </c>
      <c r="AT105" s="86" t="str">
        <f t="shared" si="41"/>
        <v>-</v>
      </c>
      <c r="AU105" s="86" t="str">
        <f t="shared" si="42"/>
        <v>-</v>
      </c>
      <c r="AV105" s="86" t="str">
        <f t="shared" si="43"/>
        <v>-</v>
      </c>
      <c r="AW105" s="86" t="str">
        <f t="shared" si="44"/>
        <v>-</v>
      </c>
      <c r="AX105" s="86" t="str">
        <f t="shared" si="45"/>
        <v>-</v>
      </c>
      <c r="AY105" s="86" t="str">
        <f t="shared" si="46"/>
        <v>-</v>
      </c>
      <c r="AZ105" s="86" t="str">
        <f t="shared" si="47"/>
        <v>-</v>
      </c>
      <c r="BA105" s="86" t="str">
        <f t="shared" si="48"/>
        <v>-</v>
      </c>
      <c r="BB105" s="86" t="str">
        <f t="shared" si="49"/>
        <v>-</v>
      </c>
      <c r="BC105" s="86" t="str">
        <f t="shared" si="50"/>
        <v>-</v>
      </c>
      <c r="BD105" s="86" t="str">
        <f t="shared" si="51"/>
        <v>-</v>
      </c>
      <c r="BE105" s="86" t="str">
        <f t="shared" si="52"/>
        <v>-</v>
      </c>
      <c r="BF105" s="86" t="str">
        <f t="shared" si="53"/>
        <v>-</v>
      </c>
    </row>
    <row r="106" spans="1:58" x14ac:dyDescent="0.2">
      <c r="A106" s="80" t="s">
        <v>1144</v>
      </c>
      <c r="B106" s="92" t="s">
        <v>76</v>
      </c>
      <c r="C106" s="202">
        <v>12293936</v>
      </c>
      <c r="D106" s="203">
        <v>7</v>
      </c>
      <c r="E106" s="204" t="s">
        <v>1357</v>
      </c>
      <c r="F106" s="204" t="s">
        <v>1217</v>
      </c>
      <c r="G106" s="204" t="s">
        <v>1358</v>
      </c>
      <c r="H106" s="205" t="s">
        <v>1033</v>
      </c>
      <c r="I106" s="205" t="s">
        <v>662</v>
      </c>
      <c r="J106" s="203">
        <v>80</v>
      </c>
      <c r="K106" s="204" t="s">
        <v>563</v>
      </c>
      <c r="L106" s="206" t="s">
        <v>502</v>
      </c>
      <c r="M106" s="210" t="s">
        <v>18</v>
      </c>
      <c r="N106" s="211">
        <v>45685</v>
      </c>
      <c r="O106" s="207">
        <v>4</v>
      </c>
      <c r="P106" s="203">
        <v>1</v>
      </c>
      <c r="Q106" s="205" t="s">
        <v>23</v>
      </c>
      <c r="R106" s="205" t="s">
        <v>11</v>
      </c>
      <c r="S106" s="205" t="s">
        <v>23</v>
      </c>
      <c r="T106" s="207">
        <v>4</v>
      </c>
      <c r="U106" s="208" t="s">
        <v>11</v>
      </c>
      <c r="V106" s="212" t="s">
        <v>11</v>
      </c>
      <c r="W106" s="212" t="s">
        <v>19</v>
      </c>
      <c r="X106" s="209">
        <v>336343</v>
      </c>
      <c r="Y106" s="213" t="s">
        <v>735</v>
      </c>
      <c r="Z106" s="209">
        <v>4</v>
      </c>
      <c r="AA106" s="209">
        <v>336343</v>
      </c>
      <c r="AB106" s="209">
        <v>336343</v>
      </c>
      <c r="AC106" s="178" t="str">
        <f>IF(OR(M106="13",M106="14",P106=8),"",IF(AND(OR(S106="AUTORIZADO", S106="PENDIENTE", S106="REDUCIDO", S106="AMPLIADO"),L106&lt;&gt;"HONORARIO" ), CONCATENATE(IF(H106="X","H",H106),"_",IF(OR(P106=5,P106=6),_xlfn.CONCAT(P106,"A"),P106),"_",VLOOKUP(T106,Datos!$B$2:$C$5,2,TRUE)),""))</f>
        <v>M_1_[4 a 10]</v>
      </c>
      <c r="AD106" s="178">
        <f t="shared" si="27"/>
        <v>672686</v>
      </c>
      <c r="AE106" s="82" t="str">
        <f t="shared" si="28"/>
        <v>-</v>
      </c>
      <c r="AF106" s="83" t="str">
        <f t="shared" si="29"/>
        <v>070601</v>
      </c>
      <c r="AG106" s="84"/>
      <c r="AH106" s="85" t="str">
        <f t="shared" si="30"/>
        <v>Corporación de Fomento de la Producción</v>
      </c>
      <c r="AI106" s="82" t="str">
        <f t="shared" si="31"/>
        <v>-</v>
      </c>
      <c r="AJ106" s="82">
        <f t="shared" si="32"/>
        <v>7</v>
      </c>
      <c r="AK106" s="82" t="str">
        <f t="shared" si="33"/>
        <v>-</v>
      </c>
      <c r="AL106" s="82" t="str">
        <f t="shared" si="34"/>
        <v>Identifica este registro como MUJER</v>
      </c>
      <c r="AM106" s="82" t="str">
        <f t="shared" si="35"/>
        <v>-</v>
      </c>
      <c r="AN106" s="82" t="str">
        <f t="shared" si="36"/>
        <v>-</v>
      </c>
      <c r="AO106" s="82" t="str">
        <f t="shared" si="37"/>
        <v>-</v>
      </c>
      <c r="AP106" s="57" t="str">
        <f t="shared" si="38"/>
        <v>-</v>
      </c>
      <c r="AQ106" s="86" t="str">
        <f t="shared" si="39"/>
        <v>-</v>
      </c>
      <c r="AR106" s="86" t="str">
        <f>IF(N106="","PRIMER_DIA en blanco",
IF(AND(M106="01",N106&gt;=L_Conversion!$C$118,N106&lt;=L_Conversion!$D$118),"-",
IF(AND(M106="02",N106&gt;=L_Conversion!$C$119,N106&lt;=L_Conversion!$D$119),"-",
IF(AND(M106="03",N106&gt;=L_Conversion!$C$120,N106&lt;=L_Conversion!$D$120),"-",
IF(AND(M106="04",N106&gt;=L_Conversion!$C$121,N106&lt;=L_Conversion!$D$121),"-",
IF(AND(M106="05",N106&gt;=L_Conversion!$C$122,N106&lt;=L_Conversion!$D$122),"-",
IF(AND(M106="06",N106&gt;=L_Conversion!$C$123,N106&lt;=L_Conversion!$D$123),"-",
IF(AND(M106="07",N106&gt;=L_Conversion!$C$124,N106&lt;=L_Conversion!$D$124),"-",
IF(AND(M106="08",N106&gt;=L_Conversion!$C$125,N106&lt;=L_Conversion!$D$125),"-",
IF(AND(M106="09",N106&gt;=L_Conversion!$C$126,N106&lt;=L_Conversion!$D$126),"-",
IF(AND(M106="10",N106&gt;=L_Conversion!$C$127,N106&lt;=L_Conversion!$D$127),"-",
IF(AND(M106="11",N106&gt;=L_Conversion!$C$128,N106&lt;=L_Conversion!$D$128),"-",
IF(AND(M106="12",N106&gt;=L_Conversion!$C$129,N106&lt;=L_Conversion!$D$129),"-",
IF(AND(M106="13",N106&gt;=L_Conversion!$C$116,N106&lt;=L_Conversion!$D$116),"-",
IF(AND(M106="14",N106&gt;=L_Conversion!$C$117,N106&lt;=L_Conversion!$D$117),"-",
"PRIMER_DIA fuera de rango")))))))))))))))</f>
        <v>-</v>
      </c>
      <c r="AS106" s="86" t="str">
        <f t="shared" si="40"/>
        <v>-</v>
      </c>
      <c r="AT106" s="86" t="str">
        <f t="shared" si="41"/>
        <v>-</v>
      </c>
      <c r="AU106" s="86" t="str">
        <f t="shared" si="42"/>
        <v>-</v>
      </c>
      <c r="AV106" s="86" t="str">
        <f t="shared" si="43"/>
        <v>-</v>
      </c>
      <c r="AW106" s="86" t="str">
        <f t="shared" si="44"/>
        <v>-</v>
      </c>
      <c r="AX106" s="86" t="str">
        <f t="shared" si="45"/>
        <v>-</v>
      </c>
      <c r="AY106" s="86" t="str">
        <f t="shared" si="46"/>
        <v>-</v>
      </c>
      <c r="AZ106" s="86" t="str">
        <f t="shared" si="47"/>
        <v>-</v>
      </c>
      <c r="BA106" s="86" t="str">
        <f t="shared" si="48"/>
        <v>-</v>
      </c>
      <c r="BB106" s="86" t="str">
        <f t="shared" si="49"/>
        <v>-</v>
      </c>
      <c r="BC106" s="86" t="str">
        <f t="shared" si="50"/>
        <v>-</v>
      </c>
      <c r="BD106" s="86" t="str">
        <f t="shared" si="51"/>
        <v>-</v>
      </c>
      <c r="BE106" s="86" t="str">
        <f t="shared" si="52"/>
        <v>-</v>
      </c>
      <c r="BF106" s="86" t="str">
        <f t="shared" si="53"/>
        <v>-</v>
      </c>
    </row>
    <row r="107" spans="1:58" x14ac:dyDescent="0.2">
      <c r="A107" s="80" t="s">
        <v>1144</v>
      </c>
      <c r="B107" s="92" t="s">
        <v>76</v>
      </c>
      <c r="C107" s="202">
        <v>14108402</v>
      </c>
      <c r="D107" s="203" t="s">
        <v>1151</v>
      </c>
      <c r="E107" s="204" t="s">
        <v>1368</v>
      </c>
      <c r="F107" s="204" t="s">
        <v>1368</v>
      </c>
      <c r="G107" s="204" t="s">
        <v>1251</v>
      </c>
      <c r="H107" s="205" t="s">
        <v>1033</v>
      </c>
      <c r="I107" s="205" t="s">
        <v>662</v>
      </c>
      <c r="J107" s="203">
        <v>60</v>
      </c>
      <c r="K107" s="204" t="s">
        <v>561</v>
      </c>
      <c r="L107" s="206" t="s">
        <v>497</v>
      </c>
      <c r="M107" s="210" t="s">
        <v>18</v>
      </c>
      <c r="N107" s="211">
        <v>45685</v>
      </c>
      <c r="O107" s="207">
        <v>4</v>
      </c>
      <c r="P107" s="203">
        <v>1</v>
      </c>
      <c r="Q107" s="205" t="s">
        <v>23</v>
      </c>
      <c r="R107" s="205" t="s">
        <v>11</v>
      </c>
      <c r="S107" s="205" t="s">
        <v>23</v>
      </c>
      <c r="T107" s="207">
        <v>4</v>
      </c>
      <c r="U107" s="208" t="s">
        <v>11</v>
      </c>
      <c r="V107" s="212" t="s">
        <v>11</v>
      </c>
      <c r="W107" s="212" t="s">
        <v>19</v>
      </c>
      <c r="X107" s="209">
        <v>165153</v>
      </c>
      <c r="Y107" s="213" t="s">
        <v>735</v>
      </c>
      <c r="Z107" s="209">
        <v>4</v>
      </c>
      <c r="AA107" s="209">
        <v>165153</v>
      </c>
      <c r="AB107" s="209">
        <v>165153</v>
      </c>
      <c r="AC107" s="178" t="str">
        <f>IF(OR(M107="13",M107="14",P107=8),"",IF(AND(OR(S107="AUTORIZADO", S107="PENDIENTE", S107="REDUCIDO", S107="AMPLIADO"),L107&lt;&gt;"HONORARIO" ), CONCATENATE(IF(H107="X","H",H107),"_",IF(OR(P107=5,P107=6),_xlfn.CONCAT(P107,"A"),P107),"_",VLOOKUP(T107,Datos!$B$2:$C$5,2,TRUE)),""))</f>
        <v>M_1_[4 a 10]</v>
      </c>
      <c r="AD107" s="178">
        <f t="shared" si="27"/>
        <v>330306</v>
      </c>
      <c r="AE107" s="82" t="str">
        <f t="shared" si="28"/>
        <v>-</v>
      </c>
      <c r="AF107" s="83" t="str">
        <f t="shared" si="29"/>
        <v>070601</v>
      </c>
      <c r="AG107" s="84"/>
      <c r="AH107" s="85" t="str">
        <f t="shared" si="30"/>
        <v>Corporación de Fomento de la Producción</v>
      </c>
      <c r="AI107" s="82" t="str">
        <f t="shared" si="31"/>
        <v>-</v>
      </c>
      <c r="AJ107" s="82" t="str">
        <f t="shared" si="32"/>
        <v>K</v>
      </c>
      <c r="AK107" s="82" t="str">
        <f t="shared" si="33"/>
        <v>-</v>
      </c>
      <c r="AL107" s="82" t="str">
        <f t="shared" si="34"/>
        <v>Identifica este registro como MUJER</v>
      </c>
      <c r="AM107" s="82" t="str">
        <f t="shared" si="35"/>
        <v>-</v>
      </c>
      <c r="AN107" s="82" t="str">
        <f t="shared" si="36"/>
        <v>-</v>
      </c>
      <c r="AO107" s="82" t="str">
        <f t="shared" si="37"/>
        <v>-</v>
      </c>
      <c r="AP107" s="57" t="str">
        <f t="shared" si="38"/>
        <v>-</v>
      </c>
      <c r="AQ107" s="86" t="str">
        <f t="shared" si="39"/>
        <v>-</v>
      </c>
      <c r="AR107" s="86" t="str">
        <f>IF(N107="","PRIMER_DIA en blanco",
IF(AND(M107="01",N107&gt;=L_Conversion!$C$118,N107&lt;=L_Conversion!$D$118),"-",
IF(AND(M107="02",N107&gt;=L_Conversion!$C$119,N107&lt;=L_Conversion!$D$119),"-",
IF(AND(M107="03",N107&gt;=L_Conversion!$C$120,N107&lt;=L_Conversion!$D$120),"-",
IF(AND(M107="04",N107&gt;=L_Conversion!$C$121,N107&lt;=L_Conversion!$D$121),"-",
IF(AND(M107="05",N107&gt;=L_Conversion!$C$122,N107&lt;=L_Conversion!$D$122),"-",
IF(AND(M107="06",N107&gt;=L_Conversion!$C$123,N107&lt;=L_Conversion!$D$123),"-",
IF(AND(M107="07",N107&gt;=L_Conversion!$C$124,N107&lt;=L_Conversion!$D$124),"-",
IF(AND(M107="08",N107&gt;=L_Conversion!$C$125,N107&lt;=L_Conversion!$D$125),"-",
IF(AND(M107="09",N107&gt;=L_Conversion!$C$126,N107&lt;=L_Conversion!$D$126),"-",
IF(AND(M107="10",N107&gt;=L_Conversion!$C$127,N107&lt;=L_Conversion!$D$127),"-",
IF(AND(M107="11",N107&gt;=L_Conversion!$C$128,N107&lt;=L_Conversion!$D$128),"-",
IF(AND(M107="12",N107&gt;=L_Conversion!$C$129,N107&lt;=L_Conversion!$D$129),"-",
IF(AND(M107="13",N107&gt;=L_Conversion!$C$116,N107&lt;=L_Conversion!$D$116),"-",
IF(AND(M107="14",N107&gt;=L_Conversion!$C$117,N107&lt;=L_Conversion!$D$117),"-",
"PRIMER_DIA fuera de rango")))))))))))))))</f>
        <v>-</v>
      </c>
      <c r="AS107" s="86" t="str">
        <f t="shared" si="40"/>
        <v>-</v>
      </c>
      <c r="AT107" s="86" t="str">
        <f t="shared" si="41"/>
        <v>-</v>
      </c>
      <c r="AU107" s="86" t="str">
        <f t="shared" si="42"/>
        <v>-</v>
      </c>
      <c r="AV107" s="86" t="str">
        <f t="shared" si="43"/>
        <v>-</v>
      </c>
      <c r="AW107" s="86" t="str">
        <f t="shared" si="44"/>
        <v>-</v>
      </c>
      <c r="AX107" s="86" t="str">
        <f t="shared" si="45"/>
        <v>-</v>
      </c>
      <c r="AY107" s="86" t="str">
        <f t="shared" si="46"/>
        <v>-</v>
      </c>
      <c r="AZ107" s="86" t="str">
        <f t="shared" si="47"/>
        <v>-</v>
      </c>
      <c r="BA107" s="86" t="str">
        <f t="shared" si="48"/>
        <v>-</v>
      </c>
      <c r="BB107" s="86" t="str">
        <f t="shared" si="49"/>
        <v>-</v>
      </c>
      <c r="BC107" s="86" t="str">
        <f t="shared" si="50"/>
        <v>-</v>
      </c>
      <c r="BD107" s="86" t="str">
        <f t="shared" si="51"/>
        <v>-</v>
      </c>
      <c r="BE107" s="86" t="str">
        <f t="shared" si="52"/>
        <v>-</v>
      </c>
      <c r="BF107" s="86" t="str">
        <f t="shared" si="53"/>
        <v>-</v>
      </c>
    </row>
    <row r="108" spans="1:58" x14ac:dyDescent="0.2">
      <c r="A108" s="80" t="s">
        <v>1144</v>
      </c>
      <c r="B108" s="92" t="s">
        <v>76</v>
      </c>
      <c r="C108" s="202">
        <v>14244068</v>
      </c>
      <c r="D108" s="203">
        <v>7</v>
      </c>
      <c r="E108" s="204" t="s">
        <v>1245</v>
      </c>
      <c r="F108" s="204" t="s">
        <v>1185</v>
      </c>
      <c r="G108" s="204" t="s">
        <v>1397</v>
      </c>
      <c r="H108" s="205" t="s">
        <v>1033</v>
      </c>
      <c r="I108" s="205" t="s">
        <v>662</v>
      </c>
      <c r="J108" s="203">
        <v>60</v>
      </c>
      <c r="K108" s="204" t="s">
        <v>563</v>
      </c>
      <c r="L108" s="206" t="s">
        <v>499</v>
      </c>
      <c r="M108" s="210" t="s">
        <v>18</v>
      </c>
      <c r="N108" s="211">
        <v>45685</v>
      </c>
      <c r="O108" s="207">
        <v>4</v>
      </c>
      <c r="P108" s="203">
        <v>1</v>
      </c>
      <c r="Q108" s="205" t="s">
        <v>23</v>
      </c>
      <c r="R108" s="205" t="s">
        <v>11</v>
      </c>
      <c r="S108" s="205" t="s">
        <v>23</v>
      </c>
      <c r="T108" s="207">
        <v>4</v>
      </c>
      <c r="U108" s="208" t="s">
        <v>11</v>
      </c>
      <c r="V108" s="212" t="s">
        <v>11</v>
      </c>
      <c r="W108" s="212" t="s">
        <v>19</v>
      </c>
      <c r="X108" s="209">
        <v>135799</v>
      </c>
      <c r="Y108" s="213" t="s">
        <v>735</v>
      </c>
      <c r="Z108" s="209">
        <v>4</v>
      </c>
      <c r="AA108" s="209">
        <v>135799</v>
      </c>
      <c r="AB108" s="209">
        <v>135799</v>
      </c>
      <c r="AC108" s="178" t="str">
        <f>IF(OR(M108="13",M108="14",P108=8),"",IF(AND(OR(S108="AUTORIZADO", S108="PENDIENTE", S108="REDUCIDO", S108="AMPLIADO"),L108&lt;&gt;"HONORARIO" ), CONCATENATE(IF(H108="X","H",H108),"_",IF(OR(P108=5,P108=6),_xlfn.CONCAT(P108,"A"),P108),"_",VLOOKUP(T108,Datos!$B$2:$C$5,2,TRUE)),""))</f>
        <v>M_1_[4 a 10]</v>
      </c>
      <c r="AD108" s="178">
        <f t="shared" si="27"/>
        <v>271598</v>
      </c>
      <c r="AE108" s="82" t="str">
        <f t="shared" si="28"/>
        <v>-</v>
      </c>
      <c r="AF108" s="83" t="str">
        <f t="shared" si="29"/>
        <v>070601</v>
      </c>
      <c r="AG108" s="84"/>
      <c r="AH108" s="85" t="str">
        <f t="shared" si="30"/>
        <v>Corporación de Fomento de la Producción</v>
      </c>
      <c r="AI108" s="82" t="str">
        <f t="shared" si="31"/>
        <v>-</v>
      </c>
      <c r="AJ108" s="82">
        <f t="shared" si="32"/>
        <v>7</v>
      </c>
      <c r="AK108" s="82" t="str">
        <f t="shared" si="33"/>
        <v>-</v>
      </c>
      <c r="AL108" s="82" t="str">
        <f t="shared" si="34"/>
        <v>Identifica este registro como MUJER</v>
      </c>
      <c r="AM108" s="82" t="str">
        <f t="shared" si="35"/>
        <v>-</v>
      </c>
      <c r="AN108" s="82" t="str">
        <f t="shared" si="36"/>
        <v>-</v>
      </c>
      <c r="AO108" s="82" t="str">
        <f t="shared" si="37"/>
        <v>-</v>
      </c>
      <c r="AP108" s="57" t="str">
        <f t="shared" si="38"/>
        <v>-</v>
      </c>
      <c r="AQ108" s="86" t="str">
        <f t="shared" si="39"/>
        <v>-</v>
      </c>
      <c r="AR108" s="86" t="str">
        <f>IF(N108="","PRIMER_DIA en blanco",
IF(AND(M108="01",N108&gt;=L_Conversion!$C$118,N108&lt;=L_Conversion!$D$118),"-",
IF(AND(M108="02",N108&gt;=L_Conversion!$C$119,N108&lt;=L_Conversion!$D$119),"-",
IF(AND(M108="03",N108&gt;=L_Conversion!$C$120,N108&lt;=L_Conversion!$D$120),"-",
IF(AND(M108="04",N108&gt;=L_Conversion!$C$121,N108&lt;=L_Conversion!$D$121),"-",
IF(AND(M108="05",N108&gt;=L_Conversion!$C$122,N108&lt;=L_Conversion!$D$122),"-",
IF(AND(M108="06",N108&gt;=L_Conversion!$C$123,N108&lt;=L_Conversion!$D$123),"-",
IF(AND(M108="07",N108&gt;=L_Conversion!$C$124,N108&lt;=L_Conversion!$D$124),"-",
IF(AND(M108="08",N108&gt;=L_Conversion!$C$125,N108&lt;=L_Conversion!$D$125),"-",
IF(AND(M108="09",N108&gt;=L_Conversion!$C$126,N108&lt;=L_Conversion!$D$126),"-",
IF(AND(M108="10",N108&gt;=L_Conversion!$C$127,N108&lt;=L_Conversion!$D$127),"-",
IF(AND(M108="11",N108&gt;=L_Conversion!$C$128,N108&lt;=L_Conversion!$D$128),"-",
IF(AND(M108="12",N108&gt;=L_Conversion!$C$129,N108&lt;=L_Conversion!$D$129),"-",
IF(AND(M108="13",N108&gt;=L_Conversion!$C$116,N108&lt;=L_Conversion!$D$116),"-",
IF(AND(M108="14",N108&gt;=L_Conversion!$C$117,N108&lt;=L_Conversion!$D$117),"-",
"PRIMER_DIA fuera de rango")))))))))))))))</f>
        <v>-</v>
      </c>
      <c r="AS108" s="86" t="str">
        <f t="shared" si="40"/>
        <v>-</v>
      </c>
      <c r="AT108" s="86" t="str">
        <f t="shared" si="41"/>
        <v>-</v>
      </c>
      <c r="AU108" s="86" t="str">
        <f t="shared" si="42"/>
        <v>-</v>
      </c>
      <c r="AV108" s="86" t="str">
        <f t="shared" si="43"/>
        <v>-</v>
      </c>
      <c r="AW108" s="86" t="str">
        <f t="shared" si="44"/>
        <v>-</v>
      </c>
      <c r="AX108" s="86" t="str">
        <f t="shared" si="45"/>
        <v>-</v>
      </c>
      <c r="AY108" s="86" t="str">
        <f t="shared" si="46"/>
        <v>-</v>
      </c>
      <c r="AZ108" s="86" t="str">
        <f t="shared" si="47"/>
        <v>-</v>
      </c>
      <c r="BA108" s="86" t="str">
        <f t="shared" si="48"/>
        <v>-</v>
      </c>
      <c r="BB108" s="86" t="str">
        <f t="shared" si="49"/>
        <v>-</v>
      </c>
      <c r="BC108" s="86" t="str">
        <f t="shared" si="50"/>
        <v>-</v>
      </c>
      <c r="BD108" s="86" t="str">
        <f t="shared" si="51"/>
        <v>-</v>
      </c>
      <c r="BE108" s="86" t="str">
        <f t="shared" si="52"/>
        <v>-</v>
      </c>
      <c r="BF108" s="86" t="str">
        <f t="shared" si="53"/>
        <v>-</v>
      </c>
    </row>
    <row r="109" spans="1:58" x14ac:dyDescent="0.2">
      <c r="A109" s="80" t="s">
        <v>1144</v>
      </c>
      <c r="B109" s="92" t="s">
        <v>76</v>
      </c>
      <c r="C109" s="202">
        <v>12869864</v>
      </c>
      <c r="D109" s="203">
        <v>7</v>
      </c>
      <c r="E109" s="204" t="s">
        <v>1231</v>
      </c>
      <c r="F109" s="204" t="s">
        <v>1232</v>
      </c>
      <c r="G109" s="204" t="s">
        <v>1233</v>
      </c>
      <c r="H109" s="205" t="s">
        <v>1033</v>
      </c>
      <c r="I109" s="205" t="s">
        <v>662</v>
      </c>
      <c r="J109" s="203">
        <v>80</v>
      </c>
      <c r="K109" s="204" t="s">
        <v>561</v>
      </c>
      <c r="L109" s="206" t="s">
        <v>502</v>
      </c>
      <c r="M109" s="210" t="s">
        <v>18</v>
      </c>
      <c r="N109" s="211">
        <v>45685</v>
      </c>
      <c r="O109" s="207">
        <v>3</v>
      </c>
      <c r="P109" s="203">
        <v>1</v>
      </c>
      <c r="Q109" s="205" t="s">
        <v>23</v>
      </c>
      <c r="R109" s="205" t="s">
        <v>11</v>
      </c>
      <c r="S109" s="205" t="s">
        <v>23</v>
      </c>
      <c r="T109" s="207">
        <v>3</v>
      </c>
      <c r="U109" s="208" t="s">
        <v>11</v>
      </c>
      <c r="V109" s="212" t="s">
        <v>11</v>
      </c>
      <c r="W109" s="212" t="s">
        <v>11</v>
      </c>
      <c r="X109" s="209">
        <v>0</v>
      </c>
      <c r="Y109" s="213" t="s">
        <v>741</v>
      </c>
      <c r="Z109" s="209">
        <v>0</v>
      </c>
      <c r="AA109" s="209">
        <v>0</v>
      </c>
      <c r="AB109" s="209">
        <v>0</v>
      </c>
      <c r="AC109" s="178" t="str">
        <f>IF(OR(M109="13",M109="14",P109=8),"",IF(AND(OR(S109="AUTORIZADO", S109="PENDIENTE", S109="REDUCIDO", S109="AMPLIADO"),L109&lt;&gt;"HONORARIO" ), CONCATENATE(IF(H109="X","H",H109),"_",IF(OR(P109=5,P109=6),_xlfn.CONCAT(P109,"A"),P109),"_",VLOOKUP(T109,Datos!$B$2:$C$5,2,TRUE)),""))</f>
        <v>M_1_[hasta 3]</v>
      </c>
      <c r="AD109" s="178">
        <f t="shared" si="27"/>
        <v>0</v>
      </c>
      <c r="AE109" s="82" t="str">
        <f t="shared" si="28"/>
        <v>-</v>
      </c>
      <c r="AF109" s="83" t="str">
        <f t="shared" si="29"/>
        <v>070601</v>
      </c>
      <c r="AG109" s="84"/>
      <c r="AH109" s="85" t="str">
        <f t="shared" si="30"/>
        <v>Corporación de Fomento de la Producción</v>
      </c>
      <c r="AI109" s="82" t="str">
        <f t="shared" si="31"/>
        <v>-</v>
      </c>
      <c r="AJ109" s="82">
        <f t="shared" si="32"/>
        <v>7</v>
      </c>
      <c r="AK109" s="82" t="str">
        <f t="shared" si="33"/>
        <v>-</v>
      </c>
      <c r="AL109" s="82" t="str">
        <f t="shared" si="34"/>
        <v>Identifica este registro como MUJER</v>
      </c>
      <c r="AM109" s="82" t="str">
        <f t="shared" si="35"/>
        <v>-</v>
      </c>
      <c r="AN109" s="82" t="str">
        <f t="shared" si="36"/>
        <v>-</v>
      </c>
      <c r="AO109" s="82" t="str">
        <f t="shared" si="37"/>
        <v>-</v>
      </c>
      <c r="AP109" s="57" t="str">
        <f t="shared" si="38"/>
        <v>-</v>
      </c>
      <c r="AQ109" s="86" t="str">
        <f t="shared" si="39"/>
        <v>-</v>
      </c>
      <c r="AR109" s="86" t="str">
        <f>IF(N109="","PRIMER_DIA en blanco",
IF(AND(M109="01",N109&gt;=L_Conversion!$C$118,N109&lt;=L_Conversion!$D$118),"-",
IF(AND(M109="02",N109&gt;=L_Conversion!$C$119,N109&lt;=L_Conversion!$D$119),"-",
IF(AND(M109="03",N109&gt;=L_Conversion!$C$120,N109&lt;=L_Conversion!$D$120),"-",
IF(AND(M109="04",N109&gt;=L_Conversion!$C$121,N109&lt;=L_Conversion!$D$121),"-",
IF(AND(M109="05",N109&gt;=L_Conversion!$C$122,N109&lt;=L_Conversion!$D$122),"-",
IF(AND(M109="06",N109&gt;=L_Conversion!$C$123,N109&lt;=L_Conversion!$D$123),"-",
IF(AND(M109="07",N109&gt;=L_Conversion!$C$124,N109&lt;=L_Conversion!$D$124),"-",
IF(AND(M109="08",N109&gt;=L_Conversion!$C$125,N109&lt;=L_Conversion!$D$125),"-",
IF(AND(M109="09",N109&gt;=L_Conversion!$C$126,N109&lt;=L_Conversion!$D$126),"-",
IF(AND(M109="10",N109&gt;=L_Conversion!$C$127,N109&lt;=L_Conversion!$D$127),"-",
IF(AND(M109="11",N109&gt;=L_Conversion!$C$128,N109&lt;=L_Conversion!$D$128),"-",
IF(AND(M109="12",N109&gt;=L_Conversion!$C$129,N109&lt;=L_Conversion!$D$129),"-",
IF(AND(M109="13",N109&gt;=L_Conversion!$C$116,N109&lt;=L_Conversion!$D$116),"-",
IF(AND(M109="14",N109&gt;=L_Conversion!$C$117,N109&lt;=L_Conversion!$D$117),"-",
"PRIMER_DIA fuera de rango")))))))))))))))</f>
        <v>-</v>
      </c>
      <c r="AS109" s="86" t="str">
        <f t="shared" si="40"/>
        <v>-</v>
      </c>
      <c r="AT109" s="86" t="str">
        <f t="shared" si="41"/>
        <v>-</v>
      </c>
      <c r="AU109" s="86" t="str">
        <f t="shared" si="42"/>
        <v>-</v>
      </c>
      <c r="AV109" s="86" t="str">
        <f t="shared" si="43"/>
        <v>-</v>
      </c>
      <c r="AW109" s="86" t="str">
        <f t="shared" si="44"/>
        <v>-</v>
      </c>
      <c r="AX109" s="86" t="str">
        <f t="shared" si="45"/>
        <v>-</v>
      </c>
      <c r="AY109" s="86" t="str">
        <f t="shared" si="46"/>
        <v>-</v>
      </c>
      <c r="AZ109" s="86" t="str">
        <f t="shared" si="47"/>
        <v>-</v>
      </c>
      <c r="BA109" s="86" t="str">
        <f t="shared" si="48"/>
        <v>-</v>
      </c>
      <c r="BB109" s="86" t="str">
        <f t="shared" si="49"/>
        <v>-</v>
      </c>
      <c r="BC109" s="86" t="str">
        <f t="shared" si="50"/>
        <v>-</v>
      </c>
      <c r="BD109" s="86" t="str">
        <f t="shared" si="51"/>
        <v>-</v>
      </c>
      <c r="BE109" s="86" t="str">
        <f t="shared" si="52"/>
        <v>-</v>
      </c>
      <c r="BF109" s="86" t="str">
        <f t="shared" si="53"/>
        <v>-</v>
      </c>
    </row>
    <row r="110" spans="1:58" x14ac:dyDescent="0.2">
      <c r="A110" s="80" t="s">
        <v>1144</v>
      </c>
      <c r="B110" s="92" t="s">
        <v>76</v>
      </c>
      <c r="C110" s="202">
        <v>18172881</v>
      </c>
      <c r="D110" s="203">
        <v>7</v>
      </c>
      <c r="E110" s="204" t="s">
        <v>1398</v>
      </c>
      <c r="F110" s="204" t="s">
        <v>1399</v>
      </c>
      <c r="G110" s="204" t="s">
        <v>1400</v>
      </c>
      <c r="H110" s="205" t="s">
        <v>1033</v>
      </c>
      <c r="I110" s="205" t="s">
        <v>662</v>
      </c>
      <c r="J110" s="203">
        <v>80</v>
      </c>
      <c r="K110" s="204" t="s">
        <v>563</v>
      </c>
      <c r="L110" s="206" t="s">
        <v>502</v>
      </c>
      <c r="M110" s="210" t="s">
        <v>18</v>
      </c>
      <c r="N110" s="211">
        <v>45685</v>
      </c>
      <c r="O110" s="207">
        <v>1</v>
      </c>
      <c r="P110" s="203">
        <v>1</v>
      </c>
      <c r="Q110" s="205" t="s">
        <v>23</v>
      </c>
      <c r="R110" s="205" t="s">
        <v>11</v>
      </c>
      <c r="S110" s="205" t="s">
        <v>23</v>
      </c>
      <c r="T110" s="207">
        <v>1</v>
      </c>
      <c r="U110" s="208" t="s">
        <v>11</v>
      </c>
      <c r="V110" s="212" t="s">
        <v>19</v>
      </c>
      <c r="W110" s="212" t="s">
        <v>19</v>
      </c>
      <c r="X110" s="209">
        <v>15513</v>
      </c>
      <c r="Y110" s="213" t="s">
        <v>735</v>
      </c>
      <c r="Z110" s="209">
        <v>1</v>
      </c>
      <c r="AA110" s="209">
        <v>15513</v>
      </c>
      <c r="AB110" s="209">
        <v>15513</v>
      </c>
      <c r="AC110" s="178" t="str">
        <f>IF(OR(M110="13",M110="14",P110=8),"",IF(AND(OR(S110="AUTORIZADO", S110="PENDIENTE", S110="REDUCIDO", S110="AMPLIADO"),L110&lt;&gt;"HONORARIO" ), CONCATENATE(IF(H110="X","H",H110),"_",IF(OR(P110=5,P110=6),_xlfn.CONCAT(P110,"A"),P110),"_",VLOOKUP(T110,Datos!$B$2:$C$5,2,TRUE)),""))</f>
        <v>M_1_[hasta 3]</v>
      </c>
      <c r="AD110" s="178">
        <f t="shared" si="27"/>
        <v>31026</v>
      </c>
      <c r="AE110" s="82" t="str">
        <f t="shared" si="28"/>
        <v>-</v>
      </c>
      <c r="AF110" s="83" t="str">
        <f t="shared" si="29"/>
        <v>070601</v>
      </c>
      <c r="AG110" s="84"/>
      <c r="AH110" s="85" t="str">
        <f t="shared" si="30"/>
        <v>Corporación de Fomento de la Producción</v>
      </c>
      <c r="AI110" s="82" t="str">
        <f t="shared" si="31"/>
        <v>-</v>
      </c>
      <c r="AJ110" s="82">
        <f t="shared" si="32"/>
        <v>7</v>
      </c>
      <c r="AK110" s="82" t="str">
        <f t="shared" si="33"/>
        <v>-</v>
      </c>
      <c r="AL110" s="82" t="str">
        <f t="shared" si="34"/>
        <v>Identifica este registro como MUJER</v>
      </c>
      <c r="AM110" s="82" t="str">
        <f t="shared" si="35"/>
        <v>-</v>
      </c>
      <c r="AN110" s="82" t="str">
        <f t="shared" si="36"/>
        <v>-</v>
      </c>
      <c r="AO110" s="82" t="str">
        <f t="shared" si="37"/>
        <v>-</v>
      </c>
      <c r="AP110" s="57" t="str">
        <f t="shared" si="38"/>
        <v>-</v>
      </c>
      <c r="AQ110" s="86" t="str">
        <f t="shared" si="39"/>
        <v>-</v>
      </c>
      <c r="AR110" s="86" t="str">
        <f>IF(N110="","PRIMER_DIA en blanco",
IF(AND(M110="01",N110&gt;=L_Conversion!$C$118,N110&lt;=L_Conversion!$D$118),"-",
IF(AND(M110="02",N110&gt;=L_Conversion!$C$119,N110&lt;=L_Conversion!$D$119),"-",
IF(AND(M110="03",N110&gt;=L_Conversion!$C$120,N110&lt;=L_Conversion!$D$120),"-",
IF(AND(M110="04",N110&gt;=L_Conversion!$C$121,N110&lt;=L_Conversion!$D$121),"-",
IF(AND(M110="05",N110&gt;=L_Conversion!$C$122,N110&lt;=L_Conversion!$D$122),"-",
IF(AND(M110="06",N110&gt;=L_Conversion!$C$123,N110&lt;=L_Conversion!$D$123),"-",
IF(AND(M110="07",N110&gt;=L_Conversion!$C$124,N110&lt;=L_Conversion!$D$124),"-",
IF(AND(M110="08",N110&gt;=L_Conversion!$C$125,N110&lt;=L_Conversion!$D$125),"-",
IF(AND(M110="09",N110&gt;=L_Conversion!$C$126,N110&lt;=L_Conversion!$D$126),"-",
IF(AND(M110="10",N110&gt;=L_Conversion!$C$127,N110&lt;=L_Conversion!$D$127),"-",
IF(AND(M110="11",N110&gt;=L_Conversion!$C$128,N110&lt;=L_Conversion!$D$128),"-",
IF(AND(M110="12",N110&gt;=L_Conversion!$C$129,N110&lt;=L_Conversion!$D$129),"-",
IF(AND(M110="13",N110&gt;=L_Conversion!$C$116,N110&lt;=L_Conversion!$D$116),"-",
IF(AND(M110="14",N110&gt;=L_Conversion!$C$117,N110&lt;=L_Conversion!$D$117),"-",
"PRIMER_DIA fuera de rango")))))))))))))))</f>
        <v>-</v>
      </c>
      <c r="AS110" s="86" t="str">
        <f t="shared" si="40"/>
        <v>-</v>
      </c>
      <c r="AT110" s="86" t="str">
        <f t="shared" si="41"/>
        <v>-</v>
      </c>
      <c r="AU110" s="86" t="str">
        <f t="shared" si="42"/>
        <v>-</v>
      </c>
      <c r="AV110" s="86" t="str">
        <f t="shared" si="43"/>
        <v>-</v>
      </c>
      <c r="AW110" s="86" t="str">
        <f t="shared" si="44"/>
        <v>-</v>
      </c>
      <c r="AX110" s="86" t="str">
        <f t="shared" si="45"/>
        <v>-</v>
      </c>
      <c r="AY110" s="86" t="str">
        <f t="shared" si="46"/>
        <v>-</v>
      </c>
      <c r="AZ110" s="86" t="str">
        <f t="shared" si="47"/>
        <v>-</v>
      </c>
      <c r="BA110" s="86" t="str">
        <f t="shared" si="48"/>
        <v>-</v>
      </c>
      <c r="BB110" s="86" t="str">
        <f t="shared" si="49"/>
        <v>-</v>
      </c>
      <c r="BC110" s="86" t="str">
        <f t="shared" si="50"/>
        <v>-</v>
      </c>
      <c r="BD110" s="86" t="str">
        <f t="shared" si="51"/>
        <v>-</v>
      </c>
      <c r="BE110" s="86" t="str">
        <f t="shared" si="52"/>
        <v>-</v>
      </c>
      <c r="BF110" s="86" t="str">
        <f t="shared" si="53"/>
        <v>-</v>
      </c>
    </row>
    <row r="111" spans="1:58" x14ac:dyDescent="0.2">
      <c r="A111" s="80" t="s">
        <v>1144</v>
      </c>
      <c r="B111" s="92" t="s">
        <v>678</v>
      </c>
      <c r="C111" s="202">
        <v>17170997</v>
      </c>
      <c r="D111" s="203">
        <v>0</v>
      </c>
      <c r="E111" s="204" t="s">
        <v>1401</v>
      </c>
      <c r="F111" s="204" t="s">
        <v>1402</v>
      </c>
      <c r="G111" s="204" t="s">
        <v>1403</v>
      </c>
      <c r="H111" s="205" t="s">
        <v>1033</v>
      </c>
      <c r="I111" s="205" t="s">
        <v>663</v>
      </c>
      <c r="J111" s="203">
        <v>80</v>
      </c>
      <c r="K111" s="204" t="s">
        <v>563</v>
      </c>
      <c r="L111" s="206" t="s">
        <v>516</v>
      </c>
      <c r="M111" s="210" t="s">
        <v>18</v>
      </c>
      <c r="N111" s="211">
        <v>45685</v>
      </c>
      <c r="O111" s="207">
        <v>11</v>
      </c>
      <c r="P111" s="203">
        <v>1</v>
      </c>
      <c r="Q111" s="205" t="s">
        <v>23</v>
      </c>
      <c r="R111" s="205" t="s">
        <v>11</v>
      </c>
      <c r="S111" s="205" t="s">
        <v>23</v>
      </c>
      <c r="T111" s="207">
        <v>11</v>
      </c>
      <c r="U111" s="208" t="s">
        <v>11</v>
      </c>
      <c r="V111" s="212" t="s">
        <v>11</v>
      </c>
      <c r="W111" s="212" t="s">
        <v>19</v>
      </c>
      <c r="X111" s="209">
        <v>848037</v>
      </c>
      <c r="Y111" s="213" t="s">
        <v>735</v>
      </c>
      <c r="Z111" s="209">
        <v>11</v>
      </c>
      <c r="AA111" s="209">
        <v>848037</v>
      </c>
      <c r="AB111" s="209">
        <v>848037</v>
      </c>
      <c r="AC111" s="178" t="str">
        <f>IF(OR(M111="13",M111="14",P111=8),"",IF(AND(OR(S111="AUTORIZADO", S111="PENDIENTE", S111="REDUCIDO", S111="AMPLIADO"),L111&lt;&gt;"HONORARIO" ), CONCATENATE(IF(H111="X","H",H111),"_",IF(OR(P111=5,P111=6),_xlfn.CONCAT(P111,"A"),P111),"_",VLOOKUP(T111,Datos!$B$2:$C$5,2,TRUE)),""))</f>
        <v>M_1_[11 +]</v>
      </c>
      <c r="AD111" s="178">
        <f t="shared" si="27"/>
        <v>1696074</v>
      </c>
      <c r="AE111" s="82" t="str">
        <f t="shared" si="28"/>
        <v>-</v>
      </c>
      <c r="AF111" s="83" t="str">
        <f t="shared" si="29"/>
        <v>Revisar</v>
      </c>
      <c r="AG111" s="84"/>
      <c r="AH111" s="85" t="str">
        <f t="shared" si="30"/>
        <v>Corporación de Fomento de la Producción</v>
      </c>
      <c r="AI111" s="82" t="str">
        <f t="shared" si="31"/>
        <v>-</v>
      </c>
      <c r="AJ111" s="82">
        <f t="shared" si="32"/>
        <v>0</v>
      </c>
      <c r="AK111" s="82" t="str">
        <f t="shared" si="33"/>
        <v>-</v>
      </c>
      <c r="AL111" s="82" t="str">
        <f t="shared" si="34"/>
        <v>Identifica este registro como MUJER</v>
      </c>
      <c r="AM111" s="82" t="str">
        <f t="shared" si="35"/>
        <v>-</v>
      </c>
      <c r="AN111" s="82" t="str">
        <f t="shared" si="36"/>
        <v>-</v>
      </c>
      <c r="AO111" s="82" t="str">
        <f t="shared" si="37"/>
        <v>-</v>
      </c>
      <c r="AP111" s="57" t="str">
        <f t="shared" si="38"/>
        <v>-</v>
      </c>
      <c r="AQ111" s="86" t="str">
        <f t="shared" si="39"/>
        <v>-</v>
      </c>
      <c r="AR111" s="86" t="str">
        <f>IF(N111="","PRIMER_DIA en blanco",
IF(AND(M111="01",N111&gt;=L_Conversion!$C$118,N111&lt;=L_Conversion!$D$118),"-",
IF(AND(M111="02",N111&gt;=L_Conversion!$C$119,N111&lt;=L_Conversion!$D$119),"-",
IF(AND(M111="03",N111&gt;=L_Conversion!$C$120,N111&lt;=L_Conversion!$D$120),"-",
IF(AND(M111="04",N111&gt;=L_Conversion!$C$121,N111&lt;=L_Conversion!$D$121),"-",
IF(AND(M111="05",N111&gt;=L_Conversion!$C$122,N111&lt;=L_Conversion!$D$122),"-",
IF(AND(M111="06",N111&gt;=L_Conversion!$C$123,N111&lt;=L_Conversion!$D$123),"-",
IF(AND(M111="07",N111&gt;=L_Conversion!$C$124,N111&lt;=L_Conversion!$D$124),"-",
IF(AND(M111="08",N111&gt;=L_Conversion!$C$125,N111&lt;=L_Conversion!$D$125),"-",
IF(AND(M111="09",N111&gt;=L_Conversion!$C$126,N111&lt;=L_Conversion!$D$126),"-",
IF(AND(M111="10",N111&gt;=L_Conversion!$C$127,N111&lt;=L_Conversion!$D$127),"-",
IF(AND(M111="11",N111&gt;=L_Conversion!$C$128,N111&lt;=L_Conversion!$D$128),"-",
IF(AND(M111="12",N111&gt;=L_Conversion!$C$129,N111&lt;=L_Conversion!$D$129),"-",
IF(AND(M111="13",N111&gt;=L_Conversion!$C$116,N111&lt;=L_Conversion!$D$116),"-",
IF(AND(M111="14",N111&gt;=L_Conversion!$C$117,N111&lt;=L_Conversion!$D$117),"-",
"PRIMER_DIA fuera de rango")))))))))))))))</f>
        <v>-</v>
      </c>
      <c r="AS111" s="86" t="str">
        <f t="shared" si="40"/>
        <v>-</v>
      </c>
      <c r="AT111" s="86" t="str">
        <f t="shared" si="41"/>
        <v>-</v>
      </c>
      <c r="AU111" s="86" t="str">
        <f t="shared" si="42"/>
        <v>-</v>
      </c>
      <c r="AV111" s="86" t="str">
        <f t="shared" si="43"/>
        <v>-</v>
      </c>
      <c r="AW111" s="86" t="str">
        <f t="shared" si="44"/>
        <v>-</v>
      </c>
      <c r="AX111" s="86" t="str">
        <f t="shared" si="45"/>
        <v>-</v>
      </c>
      <c r="AY111" s="86" t="str">
        <f t="shared" si="46"/>
        <v>-</v>
      </c>
      <c r="AZ111" s="86" t="str">
        <f t="shared" si="47"/>
        <v>-</v>
      </c>
      <c r="BA111" s="86" t="str">
        <f t="shared" si="48"/>
        <v>-</v>
      </c>
      <c r="BB111" s="86" t="str">
        <f t="shared" si="49"/>
        <v>-</v>
      </c>
      <c r="BC111" s="86" t="str">
        <f t="shared" si="50"/>
        <v>-</v>
      </c>
      <c r="BD111" s="86" t="str">
        <f t="shared" si="51"/>
        <v>-</v>
      </c>
      <c r="BE111" s="86" t="str">
        <f t="shared" si="52"/>
        <v>-</v>
      </c>
      <c r="BF111" s="86" t="str">
        <f t="shared" si="53"/>
        <v>-</v>
      </c>
    </row>
    <row r="112" spans="1:58" x14ac:dyDescent="0.2">
      <c r="A112" s="80" t="s">
        <v>1144</v>
      </c>
      <c r="B112" s="92" t="s">
        <v>76</v>
      </c>
      <c r="C112" s="202">
        <v>10213912</v>
      </c>
      <c r="D112" s="203">
        <v>7</v>
      </c>
      <c r="E112" s="204" t="s">
        <v>1404</v>
      </c>
      <c r="F112" s="204" t="s">
        <v>1210</v>
      </c>
      <c r="G112" s="204" t="s">
        <v>1405</v>
      </c>
      <c r="H112" s="205" t="s">
        <v>1033</v>
      </c>
      <c r="I112" s="205" t="s">
        <v>662</v>
      </c>
      <c r="J112" s="203">
        <v>80</v>
      </c>
      <c r="K112" s="204" t="s">
        <v>563</v>
      </c>
      <c r="L112" s="206" t="s">
        <v>502</v>
      </c>
      <c r="M112" s="210" t="s">
        <v>18</v>
      </c>
      <c r="N112" s="211">
        <v>45686</v>
      </c>
      <c r="O112" s="207">
        <v>30</v>
      </c>
      <c r="P112" s="203">
        <v>1</v>
      </c>
      <c r="Q112" s="205" t="s">
        <v>23</v>
      </c>
      <c r="R112" s="205" t="s">
        <v>11</v>
      </c>
      <c r="S112" s="205" t="s">
        <v>23</v>
      </c>
      <c r="T112" s="207">
        <v>30</v>
      </c>
      <c r="U112" s="208" t="s">
        <v>11</v>
      </c>
      <c r="V112" s="212" t="s">
        <v>11</v>
      </c>
      <c r="W112" s="212" t="s">
        <v>19</v>
      </c>
      <c r="X112" s="209">
        <v>1456161</v>
      </c>
      <c r="Y112" s="213" t="s">
        <v>735</v>
      </c>
      <c r="Z112" s="209">
        <v>30</v>
      </c>
      <c r="AA112" s="209">
        <v>1456161</v>
      </c>
      <c r="AB112" s="209">
        <v>1456161</v>
      </c>
      <c r="AC112" s="178" t="str">
        <f>IF(OR(M112="13",M112="14",P112=8),"",IF(AND(OR(S112="AUTORIZADO", S112="PENDIENTE", S112="REDUCIDO", S112="AMPLIADO"),L112&lt;&gt;"HONORARIO" ), CONCATENATE(IF(H112="X","H",H112),"_",IF(OR(P112=5,P112=6),_xlfn.CONCAT(P112,"A"),P112),"_",VLOOKUP(T112,Datos!$B$2:$C$5,2,TRUE)),""))</f>
        <v>M_1_[11 +]</v>
      </c>
      <c r="AD112" s="178">
        <f t="shared" si="27"/>
        <v>2912322</v>
      </c>
      <c r="AE112" s="82" t="str">
        <f t="shared" si="28"/>
        <v>-</v>
      </c>
      <c r="AF112" s="83" t="str">
        <f t="shared" si="29"/>
        <v>070601</v>
      </c>
      <c r="AG112" s="84"/>
      <c r="AH112" s="85" t="str">
        <f t="shared" si="30"/>
        <v>Corporación de Fomento de la Producción</v>
      </c>
      <c r="AI112" s="82" t="str">
        <f t="shared" si="31"/>
        <v>-</v>
      </c>
      <c r="AJ112" s="82">
        <f t="shared" si="32"/>
        <v>7</v>
      </c>
      <c r="AK112" s="82" t="str">
        <f t="shared" si="33"/>
        <v>-</v>
      </c>
      <c r="AL112" s="82" t="str">
        <f t="shared" si="34"/>
        <v>Identifica este registro como MUJER</v>
      </c>
      <c r="AM112" s="82" t="str">
        <f t="shared" si="35"/>
        <v>-</v>
      </c>
      <c r="AN112" s="82" t="str">
        <f t="shared" si="36"/>
        <v>-</v>
      </c>
      <c r="AO112" s="82" t="str">
        <f t="shared" si="37"/>
        <v>-</v>
      </c>
      <c r="AP112" s="57" t="str">
        <f t="shared" si="38"/>
        <v>-</v>
      </c>
      <c r="AQ112" s="86" t="str">
        <f t="shared" si="39"/>
        <v>-</v>
      </c>
      <c r="AR112" s="86" t="str">
        <f>IF(N112="","PRIMER_DIA en blanco",
IF(AND(M112="01",N112&gt;=L_Conversion!$C$118,N112&lt;=L_Conversion!$D$118),"-",
IF(AND(M112="02",N112&gt;=L_Conversion!$C$119,N112&lt;=L_Conversion!$D$119),"-",
IF(AND(M112="03",N112&gt;=L_Conversion!$C$120,N112&lt;=L_Conversion!$D$120),"-",
IF(AND(M112="04",N112&gt;=L_Conversion!$C$121,N112&lt;=L_Conversion!$D$121),"-",
IF(AND(M112="05",N112&gt;=L_Conversion!$C$122,N112&lt;=L_Conversion!$D$122),"-",
IF(AND(M112="06",N112&gt;=L_Conversion!$C$123,N112&lt;=L_Conversion!$D$123),"-",
IF(AND(M112="07",N112&gt;=L_Conversion!$C$124,N112&lt;=L_Conversion!$D$124),"-",
IF(AND(M112="08",N112&gt;=L_Conversion!$C$125,N112&lt;=L_Conversion!$D$125),"-",
IF(AND(M112="09",N112&gt;=L_Conversion!$C$126,N112&lt;=L_Conversion!$D$126),"-",
IF(AND(M112="10",N112&gt;=L_Conversion!$C$127,N112&lt;=L_Conversion!$D$127),"-",
IF(AND(M112="11",N112&gt;=L_Conversion!$C$128,N112&lt;=L_Conversion!$D$128),"-",
IF(AND(M112="12",N112&gt;=L_Conversion!$C$129,N112&lt;=L_Conversion!$D$129),"-",
IF(AND(M112="13",N112&gt;=L_Conversion!$C$116,N112&lt;=L_Conversion!$D$116),"-",
IF(AND(M112="14",N112&gt;=L_Conversion!$C$117,N112&lt;=L_Conversion!$D$117),"-",
"PRIMER_DIA fuera de rango")))))))))))))))</f>
        <v>-</v>
      </c>
      <c r="AS112" s="86" t="str">
        <f t="shared" si="40"/>
        <v>-</v>
      </c>
      <c r="AT112" s="86" t="str">
        <f t="shared" si="41"/>
        <v>-</v>
      </c>
      <c r="AU112" s="86" t="str">
        <f t="shared" si="42"/>
        <v>-</v>
      </c>
      <c r="AV112" s="86" t="str">
        <f t="shared" si="43"/>
        <v>-</v>
      </c>
      <c r="AW112" s="86" t="str">
        <f t="shared" si="44"/>
        <v>-</v>
      </c>
      <c r="AX112" s="86" t="str">
        <f t="shared" si="45"/>
        <v>-</v>
      </c>
      <c r="AY112" s="86" t="str">
        <f t="shared" si="46"/>
        <v>-</v>
      </c>
      <c r="AZ112" s="86" t="str">
        <f t="shared" si="47"/>
        <v>-</v>
      </c>
      <c r="BA112" s="86" t="str">
        <f t="shared" si="48"/>
        <v>-</v>
      </c>
      <c r="BB112" s="86" t="str">
        <f t="shared" si="49"/>
        <v>-</v>
      </c>
      <c r="BC112" s="86" t="str">
        <f t="shared" si="50"/>
        <v>-</v>
      </c>
      <c r="BD112" s="86" t="str">
        <f t="shared" si="51"/>
        <v>-</v>
      </c>
      <c r="BE112" s="86" t="str">
        <f t="shared" si="52"/>
        <v>-</v>
      </c>
      <c r="BF112" s="86" t="str">
        <f t="shared" si="53"/>
        <v>-</v>
      </c>
    </row>
    <row r="113" spans="1:58" x14ac:dyDescent="0.2">
      <c r="A113" s="80" t="s">
        <v>1144</v>
      </c>
      <c r="B113" s="92" t="s">
        <v>76</v>
      </c>
      <c r="C113" s="202">
        <v>13545055</v>
      </c>
      <c r="D113" s="203">
        <v>3</v>
      </c>
      <c r="E113" s="204" t="s">
        <v>1406</v>
      </c>
      <c r="F113" s="204" t="s">
        <v>1407</v>
      </c>
      <c r="G113" s="204" t="s">
        <v>1408</v>
      </c>
      <c r="H113" s="205" t="s">
        <v>1033</v>
      </c>
      <c r="I113" s="205" t="s">
        <v>662</v>
      </c>
      <c r="J113" s="203">
        <v>80</v>
      </c>
      <c r="K113" s="204" t="s">
        <v>561</v>
      </c>
      <c r="L113" s="206" t="s">
        <v>502</v>
      </c>
      <c r="M113" s="210" t="s">
        <v>18</v>
      </c>
      <c r="N113" s="211">
        <v>45686</v>
      </c>
      <c r="O113" s="207">
        <v>21</v>
      </c>
      <c r="P113" s="203">
        <v>1</v>
      </c>
      <c r="Q113" s="205" t="s">
        <v>23</v>
      </c>
      <c r="R113" s="205" t="s">
        <v>11</v>
      </c>
      <c r="S113" s="205" t="s">
        <v>23</v>
      </c>
      <c r="T113" s="207">
        <v>21</v>
      </c>
      <c r="U113" s="208" t="s">
        <v>11</v>
      </c>
      <c r="V113" s="212" t="s">
        <v>11</v>
      </c>
      <c r="W113" s="212" t="s">
        <v>19</v>
      </c>
      <c r="X113" s="209">
        <v>2201122</v>
      </c>
      <c r="Y113" s="213" t="s">
        <v>735</v>
      </c>
      <c r="Z113" s="209">
        <v>21</v>
      </c>
      <c r="AA113" s="209">
        <v>2201122</v>
      </c>
      <c r="AB113" s="209">
        <v>2201122</v>
      </c>
      <c r="AC113" s="178" t="str">
        <f>IF(OR(M113="13",M113="14",P113=8),"",IF(AND(OR(S113="AUTORIZADO", S113="PENDIENTE", S113="REDUCIDO", S113="AMPLIADO"),L113&lt;&gt;"HONORARIO" ), CONCATENATE(IF(H113="X","H",H113),"_",IF(OR(P113=5,P113=6),_xlfn.CONCAT(P113,"A"),P113),"_",VLOOKUP(T113,Datos!$B$2:$C$5,2,TRUE)),""))</f>
        <v>M_1_[11 +]</v>
      </c>
      <c r="AD113" s="178">
        <f t="shared" si="27"/>
        <v>4402244</v>
      </c>
      <c r="AE113" s="82" t="str">
        <f t="shared" si="28"/>
        <v>-</v>
      </c>
      <c r="AF113" s="83" t="str">
        <f t="shared" si="29"/>
        <v>070601</v>
      </c>
      <c r="AG113" s="84"/>
      <c r="AH113" s="85" t="str">
        <f t="shared" si="30"/>
        <v>Corporación de Fomento de la Producción</v>
      </c>
      <c r="AI113" s="82" t="str">
        <f t="shared" si="31"/>
        <v>-</v>
      </c>
      <c r="AJ113" s="82">
        <f t="shared" si="32"/>
        <v>3</v>
      </c>
      <c r="AK113" s="82" t="str">
        <f t="shared" si="33"/>
        <v>-</v>
      </c>
      <c r="AL113" s="82" t="str">
        <f t="shared" si="34"/>
        <v>Identifica este registro como MUJER</v>
      </c>
      <c r="AM113" s="82" t="str">
        <f t="shared" si="35"/>
        <v>-</v>
      </c>
      <c r="AN113" s="82" t="str">
        <f t="shared" si="36"/>
        <v>-</v>
      </c>
      <c r="AO113" s="82" t="str">
        <f t="shared" si="37"/>
        <v>-</v>
      </c>
      <c r="AP113" s="57" t="str">
        <f t="shared" si="38"/>
        <v>-</v>
      </c>
      <c r="AQ113" s="86" t="str">
        <f t="shared" si="39"/>
        <v>-</v>
      </c>
      <c r="AR113" s="86" t="str">
        <f>IF(N113="","PRIMER_DIA en blanco",
IF(AND(M113="01",N113&gt;=L_Conversion!$C$118,N113&lt;=L_Conversion!$D$118),"-",
IF(AND(M113="02",N113&gt;=L_Conversion!$C$119,N113&lt;=L_Conversion!$D$119),"-",
IF(AND(M113="03",N113&gt;=L_Conversion!$C$120,N113&lt;=L_Conversion!$D$120),"-",
IF(AND(M113="04",N113&gt;=L_Conversion!$C$121,N113&lt;=L_Conversion!$D$121),"-",
IF(AND(M113="05",N113&gt;=L_Conversion!$C$122,N113&lt;=L_Conversion!$D$122),"-",
IF(AND(M113="06",N113&gt;=L_Conversion!$C$123,N113&lt;=L_Conversion!$D$123),"-",
IF(AND(M113="07",N113&gt;=L_Conversion!$C$124,N113&lt;=L_Conversion!$D$124),"-",
IF(AND(M113="08",N113&gt;=L_Conversion!$C$125,N113&lt;=L_Conversion!$D$125),"-",
IF(AND(M113="09",N113&gt;=L_Conversion!$C$126,N113&lt;=L_Conversion!$D$126),"-",
IF(AND(M113="10",N113&gt;=L_Conversion!$C$127,N113&lt;=L_Conversion!$D$127),"-",
IF(AND(M113="11",N113&gt;=L_Conversion!$C$128,N113&lt;=L_Conversion!$D$128),"-",
IF(AND(M113="12",N113&gt;=L_Conversion!$C$129,N113&lt;=L_Conversion!$D$129),"-",
IF(AND(M113="13",N113&gt;=L_Conversion!$C$116,N113&lt;=L_Conversion!$D$116),"-",
IF(AND(M113="14",N113&gt;=L_Conversion!$C$117,N113&lt;=L_Conversion!$D$117),"-",
"PRIMER_DIA fuera de rango")))))))))))))))</f>
        <v>-</v>
      </c>
      <c r="AS113" s="86" t="str">
        <f t="shared" si="40"/>
        <v>-</v>
      </c>
      <c r="AT113" s="86" t="str">
        <f t="shared" si="41"/>
        <v>-</v>
      </c>
      <c r="AU113" s="86" t="str">
        <f t="shared" si="42"/>
        <v>-</v>
      </c>
      <c r="AV113" s="86" t="str">
        <f t="shared" si="43"/>
        <v>-</v>
      </c>
      <c r="AW113" s="86" t="str">
        <f t="shared" si="44"/>
        <v>-</v>
      </c>
      <c r="AX113" s="86" t="str">
        <f t="shared" si="45"/>
        <v>-</v>
      </c>
      <c r="AY113" s="86" t="str">
        <f t="shared" si="46"/>
        <v>-</v>
      </c>
      <c r="AZ113" s="86" t="str">
        <f t="shared" si="47"/>
        <v>-</v>
      </c>
      <c r="BA113" s="86" t="str">
        <f t="shared" si="48"/>
        <v>-</v>
      </c>
      <c r="BB113" s="86" t="str">
        <f t="shared" si="49"/>
        <v>-</v>
      </c>
      <c r="BC113" s="86" t="str">
        <f t="shared" si="50"/>
        <v>-</v>
      </c>
      <c r="BD113" s="86" t="str">
        <f t="shared" si="51"/>
        <v>-</v>
      </c>
      <c r="BE113" s="86" t="str">
        <f t="shared" si="52"/>
        <v>-</v>
      </c>
      <c r="BF113" s="86" t="str">
        <f t="shared" si="53"/>
        <v>-</v>
      </c>
    </row>
    <row r="114" spans="1:58" x14ac:dyDescent="0.2">
      <c r="A114" s="80" t="s">
        <v>1144</v>
      </c>
      <c r="B114" s="92" t="s">
        <v>76</v>
      </c>
      <c r="C114" s="202">
        <v>11375161</v>
      </c>
      <c r="D114" s="203">
        <v>4</v>
      </c>
      <c r="E114" s="204" t="s">
        <v>1195</v>
      </c>
      <c r="F114" s="204" t="s">
        <v>1218</v>
      </c>
      <c r="G114" s="204" t="s">
        <v>1270</v>
      </c>
      <c r="H114" s="205" t="s">
        <v>663</v>
      </c>
      <c r="I114" s="205" t="s">
        <v>662</v>
      </c>
      <c r="J114" s="203">
        <v>80</v>
      </c>
      <c r="K114" s="204" t="s">
        <v>569</v>
      </c>
      <c r="L114" s="206" t="s">
        <v>502</v>
      </c>
      <c r="M114" s="210" t="s">
        <v>18</v>
      </c>
      <c r="N114" s="211">
        <v>45686</v>
      </c>
      <c r="O114" s="207">
        <v>21</v>
      </c>
      <c r="P114" s="203">
        <v>1</v>
      </c>
      <c r="Q114" s="205" t="s">
        <v>23</v>
      </c>
      <c r="R114" s="205" t="s">
        <v>11</v>
      </c>
      <c r="S114" s="205" t="s">
        <v>23</v>
      </c>
      <c r="T114" s="207">
        <v>21</v>
      </c>
      <c r="U114" s="208" t="s">
        <v>11</v>
      </c>
      <c r="V114" s="212" t="s">
        <v>11</v>
      </c>
      <c r="W114" s="212" t="s">
        <v>19</v>
      </c>
      <c r="X114" s="209">
        <v>682454</v>
      </c>
      <c r="Y114" s="213" t="s">
        <v>735</v>
      </c>
      <c r="Z114" s="209">
        <v>21</v>
      </c>
      <c r="AA114" s="209">
        <v>682454</v>
      </c>
      <c r="AB114" s="209">
        <v>682454</v>
      </c>
      <c r="AC114" s="178" t="str">
        <f>IF(OR(M114="13",M114="14",P114=8),"",IF(AND(OR(S114="AUTORIZADO", S114="PENDIENTE", S114="REDUCIDO", S114="AMPLIADO"),L114&lt;&gt;"HONORARIO" ), CONCATENATE(IF(H114="X","H",H114),"_",IF(OR(P114=5,P114=6),_xlfn.CONCAT(P114,"A"),P114),"_",VLOOKUP(T114,Datos!$B$2:$C$5,2,TRUE)),""))</f>
        <v>H_1_[11 +]</v>
      </c>
      <c r="AD114" s="178">
        <f t="shared" si="27"/>
        <v>1364908</v>
      </c>
      <c r="AE114" s="82" t="str">
        <f t="shared" si="28"/>
        <v>-</v>
      </c>
      <c r="AF114" s="83" t="str">
        <f t="shared" si="29"/>
        <v>070601</v>
      </c>
      <c r="AG114" s="84"/>
      <c r="AH114" s="85" t="str">
        <f t="shared" si="30"/>
        <v>Corporación de Fomento de la Producción</v>
      </c>
      <c r="AI114" s="82" t="str">
        <f t="shared" si="31"/>
        <v>-</v>
      </c>
      <c r="AJ114" s="82">
        <f t="shared" si="32"/>
        <v>4</v>
      </c>
      <c r="AK114" s="82" t="str">
        <f t="shared" si="33"/>
        <v>-</v>
      </c>
      <c r="AL114" s="82" t="str">
        <f t="shared" si="34"/>
        <v>Identifica este registro como HOMBRE</v>
      </c>
      <c r="AM114" s="82" t="str">
        <f t="shared" si="35"/>
        <v>-</v>
      </c>
      <c r="AN114" s="82" t="str">
        <f t="shared" si="36"/>
        <v>-</v>
      </c>
      <c r="AO114" s="82" t="str">
        <f t="shared" si="37"/>
        <v>-</v>
      </c>
      <c r="AP114" s="57" t="str">
        <f t="shared" si="38"/>
        <v>-</v>
      </c>
      <c r="AQ114" s="86" t="str">
        <f t="shared" si="39"/>
        <v>-</v>
      </c>
      <c r="AR114" s="86" t="str">
        <f>IF(N114="","PRIMER_DIA en blanco",
IF(AND(M114="01",N114&gt;=L_Conversion!$C$118,N114&lt;=L_Conversion!$D$118),"-",
IF(AND(M114="02",N114&gt;=L_Conversion!$C$119,N114&lt;=L_Conversion!$D$119),"-",
IF(AND(M114="03",N114&gt;=L_Conversion!$C$120,N114&lt;=L_Conversion!$D$120),"-",
IF(AND(M114="04",N114&gt;=L_Conversion!$C$121,N114&lt;=L_Conversion!$D$121),"-",
IF(AND(M114="05",N114&gt;=L_Conversion!$C$122,N114&lt;=L_Conversion!$D$122),"-",
IF(AND(M114="06",N114&gt;=L_Conversion!$C$123,N114&lt;=L_Conversion!$D$123),"-",
IF(AND(M114="07",N114&gt;=L_Conversion!$C$124,N114&lt;=L_Conversion!$D$124),"-",
IF(AND(M114="08",N114&gt;=L_Conversion!$C$125,N114&lt;=L_Conversion!$D$125),"-",
IF(AND(M114="09",N114&gt;=L_Conversion!$C$126,N114&lt;=L_Conversion!$D$126),"-",
IF(AND(M114="10",N114&gt;=L_Conversion!$C$127,N114&lt;=L_Conversion!$D$127),"-",
IF(AND(M114="11",N114&gt;=L_Conversion!$C$128,N114&lt;=L_Conversion!$D$128),"-",
IF(AND(M114="12",N114&gt;=L_Conversion!$C$129,N114&lt;=L_Conversion!$D$129),"-",
IF(AND(M114="13",N114&gt;=L_Conversion!$C$116,N114&lt;=L_Conversion!$D$116),"-",
IF(AND(M114="14",N114&gt;=L_Conversion!$C$117,N114&lt;=L_Conversion!$D$117),"-",
"PRIMER_DIA fuera de rango")))))))))))))))</f>
        <v>-</v>
      </c>
      <c r="AS114" s="86" t="str">
        <f t="shared" si="40"/>
        <v>-</v>
      </c>
      <c r="AT114" s="86" t="str">
        <f t="shared" si="41"/>
        <v>-</v>
      </c>
      <c r="AU114" s="86" t="str">
        <f t="shared" si="42"/>
        <v>-</v>
      </c>
      <c r="AV114" s="86" t="str">
        <f t="shared" si="43"/>
        <v>-</v>
      </c>
      <c r="AW114" s="86" t="str">
        <f t="shared" si="44"/>
        <v>-</v>
      </c>
      <c r="AX114" s="86" t="str">
        <f t="shared" si="45"/>
        <v>-</v>
      </c>
      <c r="AY114" s="86" t="str">
        <f t="shared" si="46"/>
        <v>-</v>
      </c>
      <c r="AZ114" s="86" t="str">
        <f t="shared" si="47"/>
        <v>-</v>
      </c>
      <c r="BA114" s="86" t="str">
        <f t="shared" si="48"/>
        <v>-</v>
      </c>
      <c r="BB114" s="86" t="str">
        <f t="shared" si="49"/>
        <v>-</v>
      </c>
      <c r="BC114" s="86" t="str">
        <f t="shared" si="50"/>
        <v>-</v>
      </c>
      <c r="BD114" s="86" t="str">
        <f t="shared" si="51"/>
        <v>-</v>
      </c>
      <c r="BE114" s="86" t="str">
        <f t="shared" si="52"/>
        <v>-</v>
      </c>
      <c r="BF114" s="86" t="str">
        <f t="shared" si="53"/>
        <v>-</v>
      </c>
    </row>
    <row r="115" spans="1:58" x14ac:dyDescent="0.2">
      <c r="A115" s="80" t="s">
        <v>1144</v>
      </c>
      <c r="B115" s="92" t="s">
        <v>76</v>
      </c>
      <c r="C115" s="202">
        <v>9629688</v>
      </c>
      <c r="D115" s="203">
        <v>6</v>
      </c>
      <c r="E115" s="204" t="s">
        <v>1409</v>
      </c>
      <c r="F115" s="204" t="s">
        <v>1191</v>
      </c>
      <c r="G115" s="204" t="s">
        <v>1410</v>
      </c>
      <c r="H115" s="205" t="s">
        <v>1033</v>
      </c>
      <c r="I115" s="205" t="s">
        <v>662</v>
      </c>
      <c r="J115" s="203">
        <v>60</v>
      </c>
      <c r="K115" s="204" t="s">
        <v>567</v>
      </c>
      <c r="L115" s="206" t="s">
        <v>497</v>
      </c>
      <c r="M115" s="210" t="s">
        <v>18</v>
      </c>
      <c r="N115" s="211">
        <v>45686</v>
      </c>
      <c r="O115" s="207">
        <v>11</v>
      </c>
      <c r="P115" s="203">
        <v>1</v>
      </c>
      <c r="Q115" s="205" t="s">
        <v>23</v>
      </c>
      <c r="R115" s="205" t="s">
        <v>11</v>
      </c>
      <c r="S115" s="205" t="s">
        <v>23</v>
      </c>
      <c r="T115" s="207">
        <v>11</v>
      </c>
      <c r="U115" s="208" t="s">
        <v>11</v>
      </c>
      <c r="V115" s="212" t="s">
        <v>11</v>
      </c>
      <c r="W115" s="212" t="s">
        <v>19</v>
      </c>
      <c r="X115" s="209">
        <v>230532</v>
      </c>
      <c r="Y115" s="213" t="s">
        <v>735</v>
      </c>
      <c r="Z115" s="209">
        <v>5</v>
      </c>
      <c r="AA115" s="209">
        <v>230532</v>
      </c>
      <c r="AB115" s="209">
        <v>230532</v>
      </c>
      <c r="AC115" s="178" t="str">
        <f>IF(OR(M115="13",M115="14",P115=8),"",IF(AND(OR(S115="AUTORIZADO", S115="PENDIENTE", S115="REDUCIDO", S115="AMPLIADO"),L115&lt;&gt;"HONORARIO" ), CONCATENATE(IF(H115="X","H",H115),"_",IF(OR(P115=5,P115=6),_xlfn.CONCAT(P115,"A"),P115),"_",VLOOKUP(T115,Datos!$B$2:$C$5,2,TRUE)),""))</f>
        <v>M_1_[11 +]</v>
      </c>
      <c r="AD115" s="178">
        <f t="shared" si="27"/>
        <v>461064</v>
      </c>
      <c r="AE115" s="82" t="str">
        <f t="shared" si="28"/>
        <v>-</v>
      </c>
      <c r="AF115" s="83" t="str">
        <f t="shared" si="29"/>
        <v>070601</v>
      </c>
      <c r="AG115" s="84"/>
      <c r="AH115" s="85" t="str">
        <f t="shared" si="30"/>
        <v>Corporación de Fomento de la Producción</v>
      </c>
      <c r="AI115" s="82" t="str">
        <f t="shared" si="31"/>
        <v>-</v>
      </c>
      <c r="AJ115" s="82">
        <f t="shared" si="32"/>
        <v>6</v>
      </c>
      <c r="AK115" s="82" t="str">
        <f t="shared" si="33"/>
        <v>-</v>
      </c>
      <c r="AL115" s="82" t="str">
        <f t="shared" si="34"/>
        <v>Identifica este registro como MUJER</v>
      </c>
      <c r="AM115" s="82" t="str">
        <f t="shared" si="35"/>
        <v>-</v>
      </c>
      <c r="AN115" s="82" t="str">
        <f t="shared" si="36"/>
        <v>-</v>
      </c>
      <c r="AO115" s="82" t="str">
        <f t="shared" si="37"/>
        <v>-</v>
      </c>
      <c r="AP115" s="57" t="str">
        <f t="shared" si="38"/>
        <v>-</v>
      </c>
      <c r="AQ115" s="86" t="str">
        <f t="shared" si="39"/>
        <v>-</v>
      </c>
      <c r="AR115" s="86" t="str">
        <f>IF(N115="","PRIMER_DIA en blanco",
IF(AND(M115="01",N115&gt;=L_Conversion!$C$118,N115&lt;=L_Conversion!$D$118),"-",
IF(AND(M115="02",N115&gt;=L_Conversion!$C$119,N115&lt;=L_Conversion!$D$119),"-",
IF(AND(M115="03",N115&gt;=L_Conversion!$C$120,N115&lt;=L_Conversion!$D$120),"-",
IF(AND(M115="04",N115&gt;=L_Conversion!$C$121,N115&lt;=L_Conversion!$D$121),"-",
IF(AND(M115="05",N115&gt;=L_Conversion!$C$122,N115&lt;=L_Conversion!$D$122),"-",
IF(AND(M115="06",N115&gt;=L_Conversion!$C$123,N115&lt;=L_Conversion!$D$123),"-",
IF(AND(M115="07",N115&gt;=L_Conversion!$C$124,N115&lt;=L_Conversion!$D$124),"-",
IF(AND(M115="08",N115&gt;=L_Conversion!$C$125,N115&lt;=L_Conversion!$D$125),"-",
IF(AND(M115="09",N115&gt;=L_Conversion!$C$126,N115&lt;=L_Conversion!$D$126),"-",
IF(AND(M115="10",N115&gt;=L_Conversion!$C$127,N115&lt;=L_Conversion!$D$127),"-",
IF(AND(M115="11",N115&gt;=L_Conversion!$C$128,N115&lt;=L_Conversion!$D$128),"-",
IF(AND(M115="12",N115&gt;=L_Conversion!$C$129,N115&lt;=L_Conversion!$D$129),"-",
IF(AND(M115="13",N115&gt;=L_Conversion!$C$116,N115&lt;=L_Conversion!$D$116),"-",
IF(AND(M115="14",N115&gt;=L_Conversion!$C$117,N115&lt;=L_Conversion!$D$117),"-",
"PRIMER_DIA fuera de rango")))))))))))))))</f>
        <v>-</v>
      </c>
      <c r="AS115" s="86" t="str">
        <f t="shared" si="40"/>
        <v>-</v>
      </c>
      <c r="AT115" s="86" t="str">
        <f t="shared" si="41"/>
        <v>-</v>
      </c>
      <c r="AU115" s="86" t="str">
        <f t="shared" si="42"/>
        <v>-</v>
      </c>
      <c r="AV115" s="86" t="str">
        <f t="shared" si="43"/>
        <v>-</v>
      </c>
      <c r="AW115" s="86" t="str">
        <f t="shared" si="44"/>
        <v>-</v>
      </c>
      <c r="AX115" s="86" t="str">
        <f t="shared" si="45"/>
        <v>-</v>
      </c>
      <c r="AY115" s="86" t="str">
        <f t="shared" si="46"/>
        <v>-</v>
      </c>
      <c r="AZ115" s="86" t="str">
        <f t="shared" si="47"/>
        <v>-</v>
      </c>
      <c r="BA115" s="86" t="str">
        <f t="shared" si="48"/>
        <v>-</v>
      </c>
      <c r="BB115" s="86" t="str">
        <f t="shared" si="49"/>
        <v>-</v>
      </c>
      <c r="BC115" s="86" t="str">
        <f t="shared" si="50"/>
        <v>-</v>
      </c>
      <c r="BD115" s="86" t="str">
        <f t="shared" si="51"/>
        <v>-</v>
      </c>
      <c r="BE115" s="86" t="str">
        <f t="shared" si="52"/>
        <v>-</v>
      </c>
      <c r="BF115" s="86" t="str">
        <f t="shared" si="53"/>
        <v>-</v>
      </c>
    </row>
    <row r="116" spans="1:58" x14ac:dyDescent="0.2">
      <c r="A116" s="80" t="s">
        <v>1144</v>
      </c>
      <c r="B116" s="92" t="s">
        <v>76</v>
      </c>
      <c r="C116" s="202">
        <v>15893962</v>
      </c>
      <c r="D116" s="203">
        <v>2</v>
      </c>
      <c r="E116" s="204" t="s">
        <v>1264</v>
      </c>
      <c r="F116" s="204" t="s">
        <v>1393</v>
      </c>
      <c r="G116" s="204" t="s">
        <v>1411</v>
      </c>
      <c r="H116" s="205" t="s">
        <v>1033</v>
      </c>
      <c r="I116" s="205" t="s">
        <v>662</v>
      </c>
      <c r="J116" s="203">
        <v>80</v>
      </c>
      <c r="K116" s="204" t="s">
        <v>567</v>
      </c>
      <c r="L116" s="206" t="s">
        <v>502</v>
      </c>
      <c r="M116" s="210" t="s">
        <v>18</v>
      </c>
      <c r="N116" s="211">
        <v>45686</v>
      </c>
      <c r="O116" s="207">
        <v>25</v>
      </c>
      <c r="P116" s="203">
        <v>3</v>
      </c>
      <c r="Q116" s="205" t="s">
        <v>23</v>
      </c>
      <c r="R116" s="205" t="s">
        <v>11</v>
      </c>
      <c r="S116" s="205" t="s">
        <v>23</v>
      </c>
      <c r="T116" s="207">
        <v>25</v>
      </c>
      <c r="U116" s="208" t="s">
        <v>11</v>
      </c>
      <c r="V116" s="212" t="s">
        <v>11</v>
      </c>
      <c r="W116" s="212" t="s">
        <v>19</v>
      </c>
      <c r="X116" s="209">
        <v>2355416</v>
      </c>
      <c r="Y116" s="213" t="s">
        <v>735</v>
      </c>
      <c r="Z116" s="209">
        <v>25</v>
      </c>
      <c r="AA116" s="209">
        <v>2355416</v>
      </c>
      <c r="AB116" s="209">
        <v>2355416</v>
      </c>
      <c r="AC116" s="178" t="str">
        <f>IF(OR(M116="13",M116="14",P116=8),"",IF(AND(OR(S116="AUTORIZADO", S116="PENDIENTE", S116="REDUCIDO", S116="AMPLIADO"),L116&lt;&gt;"HONORARIO" ), CONCATENATE(IF(H116="X","H",H116),"_",IF(OR(P116=5,P116=6),_xlfn.CONCAT(P116,"A"),P116),"_",VLOOKUP(T116,Datos!$B$2:$C$5,2,TRUE)),""))</f>
        <v>M_3_[11 +]</v>
      </c>
      <c r="AD116" s="178">
        <f t="shared" si="27"/>
        <v>4710832</v>
      </c>
      <c r="AE116" s="82" t="str">
        <f t="shared" si="28"/>
        <v>-</v>
      </c>
      <c r="AF116" s="83" t="str">
        <f t="shared" si="29"/>
        <v>070601</v>
      </c>
      <c r="AG116" s="84"/>
      <c r="AH116" s="85" t="str">
        <f t="shared" si="30"/>
        <v>Corporación de Fomento de la Producción</v>
      </c>
      <c r="AI116" s="82" t="str">
        <f t="shared" si="31"/>
        <v>-</v>
      </c>
      <c r="AJ116" s="82">
        <f t="shared" si="32"/>
        <v>2</v>
      </c>
      <c r="AK116" s="82" t="str">
        <f t="shared" si="33"/>
        <v>-</v>
      </c>
      <c r="AL116" s="82" t="str">
        <f t="shared" si="34"/>
        <v>Identifica este registro como MUJER</v>
      </c>
      <c r="AM116" s="82" t="str">
        <f t="shared" si="35"/>
        <v>-</v>
      </c>
      <c r="AN116" s="82" t="str">
        <f t="shared" si="36"/>
        <v>-</v>
      </c>
      <c r="AO116" s="82" t="str">
        <f t="shared" si="37"/>
        <v>-</v>
      </c>
      <c r="AP116" s="57" t="str">
        <f t="shared" si="38"/>
        <v>-</v>
      </c>
      <c r="AQ116" s="86" t="str">
        <f t="shared" si="39"/>
        <v>-</v>
      </c>
      <c r="AR116" s="86" t="str">
        <f>IF(N116="","PRIMER_DIA en blanco",
IF(AND(M116="01",N116&gt;=L_Conversion!$C$118,N116&lt;=L_Conversion!$D$118),"-",
IF(AND(M116="02",N116&gt;=L_Conversion!$C$119,N116&lt;=L_Conversion!$D$119),"-",
IF(AND(M116="03",N116&gt;=L_Conversion!$C$120,N116&lt;=L_Conversion!$D$120),"-",
IF(AND(M116="04",N116&gt;=L_Conversion!$C$121,N116&lt;=L_Conversion!$D$121),"-",
IF(AND(M116="05",N116&gt;=L_Conversion!$C$122,N116&lt;=L_Conversion!$D$122),"-",
IF(AND(M116="06",N116&gt;=L_Conversion!$C$123,N116&lt;=L_Conversion!$D$123),"-",
IF(AND(M116="07",N116&gt;=L_Conversion!$C$124,N116&lt;=L_Conversion!$D$124),"-",
IF(AND(M116="08",N116&gt;=L_Conversion!$C$125,N116&lt;=L_Conversion!$D$125),"-",
IF(AND(M116="09",N116&gt;=L_Conversion!$C$126,N116&lt;=L_Conversion!$D$126),"-",
IF(AND(M116="10",N116&gt;=L_Conversion!$C$127,N116&lt;=L_Conversion!$D$127),"-",
IF(AND(M116="11",N116&gt;=L_Conversion!$C$128,N116&lt;=L_Conversion!$D$128),"-",
IF(AND(M116="12",N116&gt;=L_Conversion!$C$129,N116&lt;=L_Conversion!$D$129),"-",
IF(AND(M116="13",N116&gt;=L_Conversion!$C$116,N116&lt;=L_Conversion!$D$116),"-",
IF(AND(M116="14",N116&gt;=L_Conversion!$C$117,N116&lt;=L_Conversion!$D$117),"-",
"PRIMER_DIA fuera de rango")))))))))))))))</f>
        <v>-</v>
      </c>
      <c r="AS116" s="86" t="str">
        <f t="shared" si="40"/>
        <v>-</v>
      </c>
      <c r="AT116" s="86" t="str">
        <f t="shared" si="41"/>
        <v>-</v>
      </c>
      <c r="AU116" s="86" t="str">
        <f t="shared" si="42"/>
        <v>-</v>
      </c>
      <c r="AV116" s="86" t="str">
        <f t="shared" si="43"/>
        <v>-</v>
      </c>
      <c r="AW116" s="86" t="str">
        <f t="shared" si="44"/>
        <v>-</v>
      </c>
      <c r="AX116" s="86" t="str">
        <f t="shared" si="45"/>
        <v>-</v>
      </c>
      <c r="AY116" s="86" t="str">
        <f t="shared" si="46"/>
        <v>-</v>
      </c>
      <c r="AZ116" s="86" t="str">
        <f t="shared" si="47"/>
        <v>-</v>
      </c>
      <c r="BA116" s="86" t="str">
        <f t="shared" si="48"/>
        <v>-</v>
      </c>
      <c r="BB116" s="86" t="str">
        <f t="shared" si="49"/>
        <v>-</v>
      </c>
      <c r="BC116" s="86" t="str">
        <f t="shared" si="50"/>
        <v>-</v>
      </c>
      <c r="BD116" s="86" t="str">
        <f t="shared" si="51"/>
        <v>-</v>
      </c>
      <c r="BE116" s="86" t="str">
        <f t="shared" si="52"/>
        <v>-</v>
      </c>
      <c r="BF116" s="86" t="str">
        <f t="shared" si="53"/>
        <v>-</v>
      </c>
    </row>
    <row r="117" spans="1:58" x14ac:dyDescent="0.2">
      <c r="A117" s="80" t="s">
        <v>1144</v>
      </c>
      <c r="B117" s="92" t="s">
        <v>76</v>
      </c>
      <c r="C117" s="202">
        <v>16871109</v>
      </c>
      <c r="D117" s="203">
        <v>3</v>
      </c>
      <c r="E117" s="204" t="s">
        <v>1213</v>
      </c>
      <c r="F117" s="204" t="s">
        <v>1150</v>
      </c>
      <c r="G117" s="204" t="s">
        <v>1214</v>
      </c>
      <c r="H117" s="205" t="s">
        <v>1033</v>
      </c>
      <c r="I117" s="205" t="s">
        <v>662</v>
      </c>
      <c r="J117" s="203">
        <v>80</v>
      </c>
      <c r="K117" s="204" t="s">
        <v>563</v>
      </c>
      <c r="L117" s="206" t="s">
        <v>502</v>
      </c>
      <c r="M117" s="210" t="s">
        <v>18</v>
      </c>
      <c r="N117" s="211">
        <v>45687</v>
      </c>
      <c r="O117" s="207">
        <v>7</v>
      </c>
      <c r="P117" s="203">
        <v>4</v>
      </c>
      <c r="Q117" s="205" t="s">
        <v>23</v>
      </c>
      <c r="R117" s="205" t="s">
        <v>11</v>
      </c>
      <c r="S117" s="205" t="s">
        <v>23</v>
      </c>
      <c r="T117" s="207">
        <v>7</v>
      </c>
      <c r="U117" s="208" t="s">
        <v>11</v>
      </c>
      <c r="V117" s="212" t="s">
        <v>11</v>
      </c>
      <c r="W117" s="212" t="s">
        <v>19</v>
      </c>
      <c r="X117" s="209">
        <v>1516</v>
      </c>
      <c r="Y117" s="213" t="s">
        <v>735</v>
      </c>
      <c r="Z117" s="209">
        <v>7</v>
      </c>
      <c r="AA117" s="209">
        <v>1516</v>
      </c>
      <c r="AB117" s="209">
        <v>1516</v>
      </c>
      <c r="AC117" s="178" t="str">
        <f>IF(OR(M117="13",M117="14",P117=8),"",IF(AND(OR(S117="AUTORIZADO", S117="PENDIENTE", S117="REDUCIDO", S117="AMPLIADO"),L117&lt;&gt;"HONORARIO" ), CONCATENATE(IF(H117="X","H",H117),"_",IF(OR(P117=5,P117=6),_xlfn.CONCAT(P117,"A"),P117),"_",VLOOKUP(T117,Datos!$B$2:$C$5,2,TRUE)),""))</f>
        <v>M_4_[4 a 10]</v>
      </c>
      <c r="AD117" s="178">
        <f t="shared" si="27"/>
        <v>3032</v>
      </c>
      <c r="AE117" s="82" t="str">
        <f t="shared" si="28"/>
        <v>-</v>
      </c>
      <c r="AF117" s="83" t="str">
        <f t="shared" si="29"/>
        <v>070601</v>
      </c>
      <c r="AG117" s="84"/>
      <c r="AH117" s="85" t="str">
        <f t="shared" si="30"/>
        <v>Corporación de Fomento de la Producción</v>
      </c>
      <c r="AI117" s="82" t="str">
        <f t="shared" si="31"/>
        <v>-</v>
      </c>
      <c r="AJ117" s="82">
        <f t="shared" si="32"/>
        <v>3</v>
      </c>
      <c r="AK117" s="82" t="str">
        <f t="shared" si="33"/>
        <v>-</v>
      </c>
      <c r="AL117" s="82" t="str">
        <f t="shared" si="34"/>
        <v>Identifica este registro como MUJER</v>
      </c>
      <c r="AM117" s="82" t="str">
        <f t="shared" si="35"/>
        <v>-</v>
      </c>
      <c r="AN117" s="82" t="str">
        <f t="shared" si="36"/>
        <v>-</v>
      </c>
      <c r="AO117" s="82" t="str">
        <f t="shared" si="37"/>
        <v>-</v>
      </c>
      <c r="AP117" s="57" t="str">
        <f t="shared" si="38"/>
        <v>-</v>
      </c>
      <c r="AQ117" s="86" t="str">
        <f t="shared" si="39"/>
        <v>-</v>
      </c>
      <c r="AR117" s="86" t="str">
        <f>IF(N117="","PRIMER_DIA en blanco",
IF(AND(M117="01",N117&gt;=L_Conversion!$C$118,N117&lt;=L_Conversion!$D$118),"-",
IF(AND(M117="02",N117&gt;=L_Conversion!$C$119,N117&lt;=L_Conversion!$D$119),"-",
IF(AND(M117="03",N117&gt;=L_Conversion!$C$120,N117&lt;=L_Conversion!$D$120),"-",
IF(AND(M117="04",N117&gt;=L_Conversion!$C$121,N117&lt;=L_Conversion!$D$121),"-",
IF(AND(M117="05",N117&gt;=L_Conversion!$C$122,N117&lt;=L_Conversion!$D$122),"-",
IF(AND(M117="06",N117&gt;=L_Conversion!$C$123,N117&lt;=L_Conversion!$D$123),"-",
IF(AND(M117="07",N117&gt;=L_Conversion!$C$124,N117&lt;=L_Conversion!$D$124),"-",
IF(AND(M117="08",N117&gt;=L_Conversion!$C$125,N117&lt;=L_Conversion!$D$125),"-",
IF(AND(M117="09",N117&gt;=L_Conversion!$C$126,N117&lt;=L_Conversion!$D$126),"-",
IF(AND(M117="10",N117&gt;=L_Conversion!$C$127,N117&lt;=L_Conversion!$D$127),"-",
IF(AND(M117="11",N117&gt;=L_Conversion!$C$128,N117&lt;=L_Conversion!$D$128),"-",
IF(AND(M117="12",N117&gt;=L_Conversion!$C$129,N117&lt;=L_Conversion!$D$129),"-",
IF(AND(M117="13",N117&gt;=L_Conversion!$C$116,N117&lt;=L_Conversion!$D$116),"-",
IF(AND(M117="14",N117&gt;=L_Conversion!$C$117,N117&lt;=L_Conversion!$D$117),"-",
"PRIMER_DIA fuera de rango")))))))))))))))</f>
        <v>-</v>
      </c>
      <c r="AS117" s="86" t="str">
        <f t="shared" si="40"/>
        <v>-</v>
      </c>
      <c r="AT117" s="86" t="str">
        <f t="shared" si="41"/>
        <v>-</v>
      </c>
      <c r="AU117" s="86" t="str">
        <f t="shared" si="42"/>
        <v>-</v>
      </c>
      <c r="AV117" s="86" t="str">
        <f t="shared" si="43"/>
        <v>-</v>
      </c>
      <c r="AW117" s="86" t="str">
        <f t="shared" si="44"/>
        <v>-</v>
      </c>
      <c r="AX117" s="86" t="str">
        <f t="shared" si="45"/>
        <v>-</v>
      </c>
      <c r="AY117" s="86" t="str">
        <f t="shared" si="46"/>
        <v>-</v>
      </c>
      <c r="AZ117" s="86" t="str">
        <f t="shared" si="47"/>
        <v>-</v>
      </c>
      <c r="BA117" s="86" t="str">
        <f t="shared" si="48"/>
        <v>-</v>
      </c>
      <c r="BB117" s="86" t="str">
        <f t="shared" si="49"/>
        <v>-</v>
      </c>
      <c r="BC117" s="86" t="str">
        <f t="shared" si="50"/>
        <v>-</v>
      </c>
      <c r="BD117" s="86" t="str">
        <f t="shared" si="51"/>
        <v>-</v>
      </c>
      <c r="BE117" s="86" t="str">
        <f t="shared" si="52"/>
        <v>-</v>
      </c>
      <c r="BF117" s="86" t="str">
        <f t="shared" si="53"/>
        <v>-</v>
      </c>
    </row>
    <row r="118" spans="1:58" x14ac:dyDescent="0.2">
      <c r="A118" s="80" t="s">
        <v>1144</v>
      </c>
      <c r="B118" s="92" t="s">
        <v>76</v>
      </c>
      <c r="C118" s="202">
        <v>17316812</v>
      </c>
      <c r="D118" s="203">
        <v>8</v>
      </c>
      <c r="E118" s="204" t="s">
        <v>1154</v>
      </c>
      <c r="F118" s="204" t="s">
        <v>1412</v>
      </c>
      <c r="G118" s="204" t="s">
        <v>1413</v>
      </c>
      <c r="H118" s="205" t="s">
        <v>663</v>
      </c>
      <c r="I118" s="205" t="s">
        <v>662</v>
      </c>
      <c r="J118" s="203">
        <v>80</v>
      </c>
      <c r="K118" s="204" t="s">
        <v>563</v>
      </c>
      <c r="L118" s="206" t="s">
        <v>502</v>
      </c>
      <c r="M118" s="210" t="s">
        <v>18</v>
      </c>
      <c r="N118" s="211">
        <v>45687</v>
      </c>
      <c r="O118" s="207">
        <v>1</v>
      </c>
      <c r="P118" s="203">
        <v>1</v>
      </c>
      <c r="Q118" s="205" t="s">
        <v>23</v>
      </c>
      <c r="R118" s="205" t="s">
        <v>11</v>
      </c>
      <c r="S118" s="205" t="s">
        <v>23</v>
      </c>
      <c r="T118" s="207">
        <v>1</v>
      </c>
      <c r="U118" s="208" t="s">
        <v>11</v>
      </c>
      <c r="V118" s="212" t="s">
        <v>19</v>
      </c>
      <c r="W118" s="212" t="s">
        <v>19</v>
      </c>
      <c r="X118" s="209">
        <v>14789</v>
      </c>
      <c r="Y118" s="213" t="s">
        <v>735</v>
      </c>
      <c r="Z118" s="209">
        <v>1</v>
      </c>
      <c r="AA118" s="209">
        <v>14789</v>
      </c>
      <c r="AB118" s="209">
        <v>14789</v>
      </c>
      <c r="AC118" s="178" t="str">
        <f>IF(OR(M118="13",M118="14",P118=8),"",IF(AND(OR(S118="AUTORIZADO", S118="PENDIENTE", S118="REDUCIDO", S118="AMPLIADO"),L118&lt;&gt;"HONORARIO" ), CONCATENATE(IF(H118="X","H",H118),"_",IF(OR(P118=5,P118=6),_xlfn.CONCAT(P118,"A"),P118),"_",VLOOKUP(T118,Datos!$B$2:$C$5,2,TRUE)),""))</f>
        <v>H_1_[hasta 3]</v>
      </c>
      <c r="AD118" s="178">
        <f t="shared" si="27"/>
        <v>29578</v>
      </c>
      <c r="AE118" s="82" t="str">
        <f t="shared" si="28"/>
        <v>-</v>
      </c>
      <c r="AF118" s="83" t="str">
        <f t="shared" si="29"/>
        <v>070601</v>
      </c>
      <c r="AG118" s="84"/>
      <c r="AH118" s="85" t="str">
        <f t="shared" si="30"/>
        <v>Corporación de Fomento de la Producción</v>
      </c>
      <c r="AI118" s="82" t="str">
        <f t="shared" si="31"/>
        <v>-</v>
      </c>
      <c r="AJ118" s="82">
        <f t="shared" si="32"/>
        <v>8</v>
      </c>
      <c r="AK118" s="82" t="str">
        <f t="shared" si="33"/>
        <v>-</v>
      </c>
      <c r="AL118" s="82" t="str">
        <f t="shared" si="34"/>
        <v>Identifica este registro como HOMBRE</v>
      </c>
      <c r="AM118" s="82" t="str">
        <f t="shared" si="35"/>
        <v>-</v>
      </c>
      <c r="AN118" s="82" t="str">
        <f t="shared" si="36"/>
        <v>-</v>
      </c>
      <c r="AO118" s="82" t="str">
        <f t="shared" si="37"/>
        <v>-</v>
      </c>
      <c r="AP118" s="57" t="str">
        <f t="shared" si="38"/>
        <v>-</v>
      </c>
      <c r="AQ118" s="86" t="str">
        <f t="shared" si="39"/>
        <v>-</v>
      </c>
      <c r="AR118" s="86" t="str">
        <f>IF(N118="","PRIMER_DIA en blanco",
IF(AND(M118="01",N118&gt;=L_Conversion!$C$118,N118&lt;=L_Conversion!$D$118),"-",
IF(AND(M118="02",N118&gt;=L_Conversion!$C$119,N118&lt;=L_Conversion!$D$119),"-",
IF(AND(M118="03",N118&gt;=L_Conversion!$C$120,N118&lt;=L_Conversion!$D$120),"-",
IF(AND(M118="04",N118&gt;=L_Conversion!$C$121,N118&lt;=L_Conversion!$D$121),"-",
IF(AND(M118="05",N118&gt;=L_Conversion!$C$122,N118&lt;=L_Conversion!$D$122),"-",
IF(AND(M118="06",N118&gt;=L_Conversion!$C$123,N118&lt;=L_Conversion!$D$123),"-",
IF(AND(M118="07",N118&gt;=L_Conversion!$C$124,N118&lt;=L_Conversion!$D$124),"-",
IF(AND(M118="08",N118&gt;=L_Conversion!$C$125,N118&lt;=L_Conversion!$D$125),"-",
IF(AND(M118="09",N118&gt;=L_Conversion!$C$126,N118&lt;=L_Conversion!$D$126),"-",
IF(AND(M118="10",N118&gt;=L_Conversion!$C$127,N118&lt;=L_Conversion!$D$127),"-",
IF(AND(M118="11",N118&gt;=L_Conversion!$C$128,N118&lt;=L_Conversion!$D$128),"-",
IF(AND(M118="12",N118&gt;=L_Conversion!$C$129,N118&lt;=L_Conversion!$D$129),"-",
IF(AND(M118="13",N118&gt;=L_Conversion!$C$116,N118&lt;=L_Conversion!$D$116),"-",
IF(AND(M118="14",N118&gt;=L_Conversion!$C$117,N118&lt;=L_Conversion!$D$117),"-",
"PRIMER_DIA fuera de rango")))))))))))))))</f>
        <v>-</v>
      </c>
      <c r="AS118" s="86" t="str">
        <f t="shared" si="40"/>
        <v>-</v>
      </c>
      <c r="AT118" s="86" t="str">
        <f t="shared" si="41"/>
        <v>-</v>
      </c>
      <c r="AU118" s="86" t="str">
        <f t="shared" si="42"/>
        <v>-</v>
      </c>
      <c r="AV118" s="86" t="str">
        <f t="shared" si="43"/>
        <v>-</v>
      </c>
      <c r="AW118" s="86" t="str">
        <f t="shared" si="44"/>
        <v>-</v>
      </c>
      <c r="AX118" s="86" t="str">
        <f t="shared" si="45"/>
        <v>-</v>
      </c>
      <c r="AY118" s="86" t="str">
        <f t="shared" si="46"/>
        <v>-</v>
      </c>
      <c r="AZ118" s="86" t="str">
        <f t="shared" si="47"/>
        <v>-</v>
      </c>
      <c r="BA118" s="86" t="str">
        <f t="shared" si="48"/>
        <v>-</v>
      </c>
      <c r="BB118" s="86" t="str">
        <f t="shared" si="49"/>
        <v>-</v>
      </c>
      <c r="BC118" s="86" t="str">
        <f t="shared" si="50"/>
        <v>-</v>
      </c>
      <c r="BD118" s="86" t="str">
        <f t="shared" si="51"/>
        <v>-</v>
      </c>
      <c r="BE118" s="86" t="str">
        <f t="shared" si="52"/>
        <v>-</v>
      </c>
      <c r="BF118" s="86" t="str">
        <f t="shared" si="53"/>
        <v>-</v>
      </c>
    </row>
    <row r="119" spans="1:58" x14ac:dyDescent="0.2">
      <c r="A119" s="80" t="s">
        <v>1144</v>
      </c>
      <c r="B119" s="92" t="s">
        <v>76</v>
      </c>
      <c r="C119" s="202">
        <v>15642135</v>
      </c>
      <c r="D119" s="203">
        <v>9</v>
      </c>
      <c r="E119" s="204" t="s">
        <v>1414</v>
      </c>
      <c r="F119" s="204" t="s">
        <v>1415</v>
      </c>
      <c r="G119" s="204" t="s">
        <v>1416</v>
      </c>
      <c r="H119" s="205" t="s">
        <v>1033</v>
      </c>
      <c r="I119" s="205" t="s">
        <v>664</v>
      </c>
      <c r="J119" s="203">
        <v>80</v>
      </c>
      <c r="K119" s="204" t="s">
        <v>563</v>
      </c>
      <c r="L119" s="206" t="s">
        <v>502</v>
      </c>
      <c r="M119" s="210" t="s">
        <v>18</v>
      </c>
      <c r="N119" s="211">
        <v>45687</v>
      </c>
      <c r="O119" s="207">
        <v>2</v>
      </c>
      <c r="P119" s="203">
        <v>1</v>
      </c>
      <c r="Q119" s="205" t="s">
        <v>23</v>
      </c>
      <c r="R119" s="205" t="s">
        <v>11</v>
      </c>
      <c r="S119" s="205" t="s">
        <v>23</v>
      </c>
      <c r="T119" s="207">
        <v>2</v>
      </c>
      <c r="U119" s="208" t="s">
        <v>11</v>
      </c>
      <c r="V119" s="212" t="s">
        <v>19</v>
      </c>
      <c r="W119" s="212" t="s">
        <v>19</v>
      </c>
      <c r="X119" s="209">
        <v>44716</v>
      </c>
      <c r="Y119" s="213" t="s">
        <v>735</v>
      </c>
      <c r="Z119" s="209">
        <v>2</v>
      </c>
      <c r="AA119" s="209">
        <v>44716</v>
      </c>
      <c r="AB119" s="209">
        <v>44716</v>
      </c>
      <c r="AC119" s="178" t="str">
        <f>IF(OR(M119="13",M119="14",P119=8),"",IF(AND(OR(S119="AUTORIZADO", S119="PENDIENTE", S119="REDUCIDO", S119="AMPLIADO"),L119&lt;&gt;"HONORARIO" ), CONCATENATE(IF(H119="X","H",H119),"_",IF(OR(P119=5,P119=6),_xlfn.CONCAT(P119,"A"),P119),"_",VLOOKUP(T119,Datos!$B$2:$C$5,2,TRUE)),""))</f>
        <v>M_1_[hasta 3]</v>
      </c>
      <c r="AD119" s="178">
        <f t="shared" si="27"/>
        <v>89432</v>
      </c>
      <c r="AE119" s="82" t="str">
        <f t="shared" si="28"/>
        <v>-</v>
      </c>
      <c r="AF119" s="83" t="str">
        <f t="shared" si="29"/>
        <v>070601</v>
      </c>
      <c r="AG119" s="84"/>
      <c r="AH119" s="85" t="str">
        <f t="shared" si="30"/>
        <v>Corporación de Fomento de la Producción</v>
      </c>
      <c r="AI119" s="82" t="str">
        <f t="shared" si="31"/>
        <v>-</v>
      </c>
      <c r="AJ119" s="82">
        <f t="shared" si="32"/>
        <v>9</v>
      </c>
      <c r="AK119" s="82" t="str">
        <f t="shared" si="33"/>
        <v>-</v>
      </c>
      <c r="AL119" s="82" t="str">
        <f t="shared" si="34"/>
        <v>Identifica este registro como MUJER</v>
      </c>
      <c r="AM119" s="82" t="str">
        <f t="shared" si="35"/>
        <v>-</v>
      </c>
      <c r="AN119" s="82" t="str">
        <f t="shared" si="36"/>
        <v>-</v>
      </c>
      <c r="AO119" s="82" t="str">
        <f t="shared" si="37"/>
        <v>-</v>
      </c>
      <c r="AP119" s="57" t="str">
        <f t="shared" si="38"/>
        <v>-</v>
      </c>
      <c r="AQ119" s="86" t="str">
        <f t="shared" si="39"/>
        <v>-</v>
      </c>
      <c r="AR119" s="86" t="str">
        <f>IF(N119="","PRIMER_DIA en blanco",
IF(AND(M119="01",N119&gt;=L_Conversion!$C$118,N119&lt;=L_Conversion!$D$118),"-",
IF(AND(M119="02",N119&gt;=L_Conversion!$C$119,N119&lt;=L_Conversion!$D$119),"-",
IF(AND(M119="03",N119&gt;=L_Conversion!$C$120,N119&lt;=L_Conversion!$D$120),"-",
IF(AND(M119="04",N119&gt;=L_Conversion!$C$121,N119&lt;=L_Conversion!$D$121),"-",
IF(AND(M119="05",N119&gt;=L_Conversion!$C$122,N119&lt;=L_Conversion!$D$122),"-",
IF(AND(M119="06",N119&gt;=L_Conversion!$C$123,N119&lt;=L_Conversion!$D$123),"-",
IF(AND(M119="07",N119&gt;=L_Conversion!$C$124,N119&lt;=L_Conversion!$D$124),"-",
IF(AND(M119="08",N119&gt;=L_Conversion!$C$125,N119&lt;=L_Conversion!$D$125),"-",
IF(AND(M119="09",N119&gt;=L_Conversion!$C$126,N119&lt;=L_Conversion!$D$126),"-",
IF(AND(M119="10",N119&gt;=L_Conversion!$C$127,N119&lt;=L_Conversion!$D$127),"-",
IF(AND(M119="11",N119&gt;=L_Conversion!$C$128,N119&lt;=L_Conversion!$D$128),"-",
IF(AND(M119="12",N119&gt;=L_Conversion!$C$129,N119&lt;=L_Conversion!$D$129),"-",
IF(AND(M119="13",N119&gt;=L_Conversion!$C$116,N119&lt;=L_Conversion!$D$116),"-",
IF(AND(M119="14",N119&gt;=L_Conversion!$C$117,N119&lt;=L_Conversion!$D$117),"-",
"PRIMER_DIA fuera de rango")))))))))))))))</f>
        <v>-</v>
      </c>
      <c r="AS119" s="86" t="str">
        <f t="shared" si="40"/>
        <v>-</v>
      </c>
      <c r="AT119" s="86" t="str">
        <f t="shared" si="41"/>
        <v>-</v>
      </c>
      <c r="AU119" s="86" t="str">
        <f t="shared" si="42"/>
        <v>-</v>
      </c>
      <c r="AV119" s="86" t="str">
        <f t="shared" si="43"/>
        <v>-</v>
      </c>
      <c r="AW119" s="86" t="str">
        <f t="shared" si="44"/>
        <v>-</v>
      </c>
      <c r="AX119" s="86" t="str">
        <f t="shared" si="45"/>
        <v>-</v>
      </c>
      <c r="AY119" s="86" t="str">
        <f t="shared" si="46"/>
        <v>-</v>
      </c>
      <c r="AZ119" s="86" t="str">
        <f t="shared" si="47"/>
        <v>-</v>
      </c>
      <c r="BA119" s="86" t="str">
        <f t="shared" si="48"/>
        <v>-</v>
      </c>
      <c r="BB119" s="86" t="str">
        <f t="shared" si="49"/>
        <v>-</v>
      </c>
      <c r="BC119" s="86" t="str">
        <f t="shared" si="50"/>
        <v>-</v>
      </c>
      <c r="BD119" s="86" t="str">
        <f t="shared" si="51"/>
        <v>-</v>
      </c>
      <c r="BE119" s="86" t="str">
        <f t="shared" si="52"/>
        <v>-</v>
      </c>
      <c r="BF119" s="86" t="str">
        <f t="shared" si="53"/>
        <v>-</v>
      </c>
    </row>
    <row r="120" spans="1:58" x14ac:dyDescent="0.2">
      <c r="A120" s="80" t="s">
        <v>1144</v>
      </c>
      <c r="B120" s="92" t="s">
        <v>678</v>
      </c>
      <c r="C120" s="202">
        <v>16807438</v>
      </c>
      <c r="D120" s="203">
        <v>7</v>
      </c>
      <c r="E120" s="204" t="s">
        <v>1417</v>
      </c>
      <c r="F120" s="204" t="s">
        <v>1418</v>
      </c>
      <c r="G120" s="204" t="s">
        <v>1419</v>
      </c>
      <c r="H120" s="205" t="s">
        <v>1033</v>
      </c>
      <c r="I120" s="205" t="s">
        <v>663</v>
      </c>
      <c r="J120" s="203">
        <v>80</v>
      </c>
      <c r="K120" s="204" t="s">
        <v>563</v>
      </c>
      <c r="L120" s="206" t="s">
        <v>516</v>
      </c>
      <c r="M120" s="210" t="s">
        <v>18</v>
      </c>
      <c r="N120" s="211">
        <v>45687</v>
      </c>
      <c r="O120" s="207">
        <v>2</v>
      </c>
      <c r="P120" s="203">
        <v>1</v>
      </c>
      <c r="Q120" s="205" t="s">
        <v>23</v>
      </c>
      <c r="R120" s="205" t="s">
        <v>11</v>
      </c>
      <c r="S120" s="205" t="s">
        <v>23</v>
      </c>
      <c r="T120" s="207">
        <v>2</v>
      </c>
      <c r="U120" s="208" t="s">
        <v>11</v>
      </c>
      <c r="V120" s="212" t="s">
        <v>19</v>
      </c>
      <c r="W120" s="212" t="s">
        <v>19</v>
      </c>
      <c r="X120" s="209">
        <v>55738</v>
      </c>
      <c r="Y120" s="213" t="s">
        <v>735</v>
      </c>
      <c r="Z120" s="209">
        <v>2</v>
      </c>
      <c r="AA120" s="209">
        <v>55738</v>
      </c>
      <c r="AB120" s="209">
        <v>55738</v>
      </c>
      <c r="AC120" s="178" t="str">
        <f>IF(OR(M120="13",M120="14",P120=8),"",IF(AND(OR(S120="AUTORIZADO", S120="PENDIENTE", S120="REDUCIDO", S120="AMPLIADO"),L120&lt;&gt;"HONORARIO" ), CONCATENATE(IF(H120="X","H",H120),"_",IF(OR(P120=5,P120=6),_xlfn.CONCAT(P120,"A"),P120),"_",VLOOKUP(T120,Datos!$B$2:$C$5,2,TRUE)),""))</f>
        <v>M_1_[hasta 3]</v>
      </c>
      <c r="AD120" s="178">
        <f t="shared" si="27"/>
        <v>111476</v>
      </c>
      <c r="AE120" s="82" t="str">
        <f t="shared" si="28"/>
        <v>-</v>
      </c>
      <c r="AF120" s="83" t="str">
        <f t="shared" si="29"/>
        <v>Revisar</v>
      </c>
      <c r="AG120" s="84"/>
      <c r="AH120" s="85" t="str">
        <f t="shared" si="30"/>
        <v>Corporación de Fomento de la Producción</v>
      </c>
      <c r="AI120" s="82" t="str">
        <f t="shared" si="31"/>
        <v>-</v>
      </c>
      <c r="AJ120" s="82">
        <f t="shared" si="32"/>
        <v>7</v>
      </c>
      <c r="AK120" s="82" t="str">
        <f t="shared" si="33"/>
        <v>-</v>
      </c>
      <c r="AL120" s="82" t="str">
        <f t="shared" si="34"/>
        <v>Identifica este registro como MUJER</v>
      </c>
      <c r="AM120" s="82" t="str">
        <f t="shared" si="35"/>
        <v>-</v>
      </c>
      <c r="AN120" s="82" t="str">
        <f t="shared" si="36"/>
        <v>-</v>
      </c>
      <c r="AO120" s="82" t="str">
        <f t="shared" si="37"/>
        <v>-</v>
      </c>
      <c r="AP120" s="57" t="str">
        <f t="shared" si="38"/>
        <v>-</v>
      </c>
      <c r="AQ120" s="86" t="str">
        <f t="shared" si="39"/>
        <v>-</v>
      </c>
      <c r="AR120" s="86" t="str">
        <f>IF(N120="","PRIMER_DIA en blanco",
IF(AND(M120="01",N120&gt;=L_Conversion!$C$118,N120&lt;=L_Conversion!$D$118),"-",
IF(AND(M120="02",N120&gt;=L_Conversion!$C$119,N120&lt;=L_Conversion!$D$119),"-",
IF(AND(M120="03",N120&gt;=L_Conversion!$C$120,N120&lt;=L_Conversion!$D$120),"-",
IF(AND(M120="04",N120&gt;=L_Conversion!$C$121,N120&lt;=L_Conversion!$D$121),"-",
IF(AND(M120="05",N120&gt;=L_Conversion!$C$122,N120&lt;=L_Conversion!$D$122),"-",
IF(AND(M120="06",N120&gt;=L_Conversion!$C$123,N120&lt;=L_Conversion!$D$123),"-",
IF(AND(M120="07",N120&gt;=L_Conversion!$C$124,N120&lt;=L_Conversion!$D$124),"-",
IF(AND(M120="08",N120&gt;=L_Conversion!$C$125,N120&lt;=L_Conversion!$D$125),"-",
IF(AND(M120="09",N120&gt;=L_Conversion!$C$126,N120&lt;=L_Conversion!$D$126),"-",
IF(AND(M120="10",N120&gt;=L_Conversion!$C$127,N120&lt;=L_Conversion!$D$127),"-",
IF(AND(M120="11",N120&gt;=L_Conversion!$C$128,N120&lt;=L_Conversion!$D$128),"-",
IF(AND(M120="12",N120&gt;=L_Conversion!$C$129,N120&lt;=L_Conversion!$D$129),"-",
IF(AND(M120="13",N120&gt;=L_Conversion!$C$116,N120&lt;=L_Conversion!$D$116),"-",
IF(AND(M120="14",N120&gt;=L_Conversion!$C$117,N120&lt;=L_Conversion!$D$117),"-",
"PRIMER_DIA fuera de rango")))))))))))))))</f>
        <v>-</v>
      </c>
      <c r="AS120" s="86" t="str">
        <f t="shared" si="40"/>
        <v>-</v>
      </c>
      <c r="AT120" s="86" t="str">
        <f t="shared" si="41"/>
        <v>-</v>
      </c>
      <c r="AU120" s="86" t="str">
        <f t="shared" si="42"/>
        <v>-</v>
      </c>
      <c r="AV120" s="86" t="str">
        <f t="shared" si="43"/>
        <v>-</v>
      </c>
      <c r="AW120" s="86" t="str">
        <f t="shared" si="44"/>
        <v>-</v>
      </c>
      <c r="AX120" s="86" t="str">
        <f t="shared" si="45"/>
        <v>-</v>
      </c>
      <c r="AY120" s="86" t="str">
        <f t="shared" si="46"/>
        <v>-</v>
      </c>
      <c r="AZ120" s="86" t="str">
        <f t="shared" si="47"/>
        <v>-</v>
      </c>
      <c r="BA120" s="86" t="str">
        <f t="shared" si="48"/>
        <v>-</v>
      </c>
      <c r="BB120" s="86" t="str">
        <f t="shared" si="49"/>
        <v>-</v>
      </c>
      <c r="BC120" s="86" t="str">
        <f t="shared" si="50"/>
        <v>-</v>
      </c>
      <c r="BD120" s="86" t="str">
        <f t="shared" si="51"/>
        <v>-</v>
      </c>
      <c r="BE120" s="86" t="str">
        <f t="shared" si="52"/>
        <v>-</v>
      </c>
      <c r="BF120" s="86" t="str">
        <f t="shared" si="53"/>
        <v>-</v>
      </c>
    </row>
    <row r="121" spans="1:58" x14ac:dyDescent="0.2">
      <c r="A121" s="80" t="s">
        <v>1144</v>
      </c>
      <c r="B121" s="92" t="s">
        <v>76</v>
      </c>
      <c r="C121" s="202">
        <v>17287311</v>
      </c>
      <c r="D121" s="203">
        <v>1</v>
      </c>
      <c r="E121" s="204" t="s">
        <v>1279</v>
      </c>
      <c r="F121" s="204" t="s">
        <v>1420</v>
      </c>
      <c r="G121" s="204" t="s">
        <v>1421</v>
      </c>
      <c r="H121" s="205" t="s">
        <v>1033</v>
      </c>
      <c r="I121" s="205" t="s">
        <v>662</v>
      </c>
      <c r="J121" s="203">
        <v>80</v>
      </c>
      <c r="K121" s="204" t="s">
        <v>563</v>
      </c>
      <c r="L121" s="206" t="s">
        <v>502</v>
      </c>
      <c r="M121" s="210" t="s">
        <v>18</v>
      </c>
      <c r="N121" s="211">
        <v>45687</v>
      </c>
      <c r="O121" s="207">
        <v>1</v>
      </c>
      <c r="P121" s="203">
        <v>1</v>
      </c>
      <c r="Q121" s="205" t="s">
        <v>23</v>
      </c>
      <c r="R121" s="205" t="s">
        <v>11</v>
      </c>
      <c r="S121" s="205" t="s">
        <v>23</v>
      </c>
      <c r="T121" s="207">
        <v>1</v>
      </c>
      <c r="U121" s="208" t="s">
        <v>11</v>
      </c>
      <c r="V121" s="212" t="s">
        <v>19</v>
      </c>
      <c r="W121" s="212" t="s">
        <v>19</v>
      </c>
      <c r="X121" s="209">
        <v>12860</v>
      </c>
      <c r="Y121" s="213" t="s">
        <v>735</v>
      </c>
      <c r="Z121" s="209">
        <v>1</v>
      </c>
      <c r="AA121" s="209">
        <v>12860</v>
      </c>
      <c r="AB121" s="209">
        <v>12860</v>
      </c>
      <c r="AC121" s="178" t="str">
        <f>IF(OR(M121="13",M121="14",P121=8),"",IF(AND(OR(S121="AUTORIZADO", S121="PENDIENTE", S121="REDUCIDO", S121="AMPLIADO"),L121&lt;&gt;"HONORARIO" ), CONCATENATE(IF(H121="X","H",H121),"_",IF(OR(P121=5,P121=6),_xlfn.CONCAT(P121,"A"),P121),"_",VLOOKUP(T121,Datos!$B$2:$C$5,2,TRUE)),""))</f>
        <v>M_1_[hasta 3]</v>
      </c>
      <c r="AD121" s="178">
        <f t="shared" si="27"/>
        <v>25720</v>
      </c>
      <c r="AE121" s="82" t="str">
        <f t="shared" si="28"/>
        <v>-</v>
      </c>
      <c r="AF121" s="83" t="str">
        <f t="shared" si="29"/>
        <v>070601</v>
      </c>
      <c r="AG121" s="84"/>
      <c r="AH121" s="85" t="str">
        <f t="shared" si="30"/>
        <v>Corporación de Fomento de la Producción</v>
      </c>
      <c r="AI121" s="82" t="str">
        <f t="shared" si="31"/>
        <v>-</v>
      </c>
      <c r="AJ121" s="82">
        <f t="shared" si="32"/>
        <v>1</v>
      </c>
      <c r="AK121" s="82" t="str">
        <f t="shared" si="33"/>
        <v>-</v>
      </c>
      <c r="AL121" s="82" t="str">
        <f t="shared" si="34"/>
        <v>Identifica este registro como MUJER</v>
      </c>
      <c r="AM121" s="82" t="str">
        <f t="shared" si="35"/>
        <v>-</v>
      </c>
      <c r="AN121" s="82" t="str">
        <f t="shared" si="36"/>
        <v>-</v>
      </c>
      <c r="AO121" s="82" t="str">
        <f t="shared" si="37"/>
        <v>-</v>
      </c>
      <c r="AP121" s="57" t="str">
        <f t="shared" si="38"/>
        <v>-</v>
      </c>
      <c r="AQ121" s="86" t="str">
        <f t="shared" si="39"/>
        <v>-</v>
      </c>
      <c r="AR121" s="86" t="str">
        <f>IF(N121="","PRIMER_DIA en blanco",
IF(AND(M121="01",N121&gt;=L_Conversion!$C$118,N121&lt;=L_Conversion!$D$118),"-",
IF(AND(M121="02",N121&gt;=L_Conversion!$C$119,N121&lt;=L_Conversion!$D$119),"-",
IF(AND(M121="03",N121&gt;=L_Conversion!$C$120,N121&lt;=L_Conversion!$D$120),"-",
IF(AND(M121="04",N121&gt;=L_Conversion!$C$121,N121&lt;=L_Conversion!$D$121),"-",
IF(AND(M121="05",N121&gt;=L_Conversion!$C$122,N121&lt;=L_Conversion!$D$122),"-",
IF(AND(M121="06",N121&gt;=L_Conversion!$C$123,N121&lt;=L_Conversion!$D$123),"-",
IF(AND(M121="07",N121&gt;=L_Conversion!$C$124,N121&lt;=L_Conversion!$D$124),"-",
IF(AND(M121="08",N121&gt;=L_Conversion!$C$125,N121&lt;=L_Conversion!$D$125),"-",
IF(AND(M121="09",N121&gt;=L_Conversion!$C$126,N121&lt;=L_Conversion!$D$126),"-",
IF(AND(M121="10",N121&gt;=L_Conversion!$C$127,N121&lt;=L_Conversion!$D$127),"-",
IF(AND(M121="11",N121&gt;=L_Conversion!$C$128,N121&lt;=L_Conversion!$D$128),"-",
IF(AND(M121="12",N121&gt;=L_Conversion!$C$129,N121&lt;=L_Conversion!$D$129),"-",
IF(AND(M121="13",N121&gt;=L_Conversion!$C$116,N121&lt;=L_Conversion!$D$116),"-",
IF(AND(M121="14",N121&gt;=L_Conversion!$C$117,N121&lt;=L_Conversion!$D$117),"-",
"PRIMER_DIA fuera de rango")))))))))))))))</f>
        <v>-</v>
      </c>
      <c r="AS121" s="86" t="str">
        <f t="shared" si="40"/>
        <v>-</v>
      </c>
      <c r="AT121" s="86" t="str">
        <f t="shared" si="41"/>
        <v>-</v>
      </c>
      <c r="AU121" s="86" t="str">
        <f t="shared" si="42"/>
        <v>-</v>
      </c>
      <c r="AV121" s="86" t="str">
        <f t="shared" si="43"/>
        <v>-</v>
      </c>
      <c r="AW121" s="86" t="str">
        <f t="shared" si="44"/>
        <v>-</v>
      </c>
      <c r="AX121" s="86" t="str">
        <f t="shared" si="45"/>
        <v>-</v>
      </c>
      <c r="AY121" s="86" t="str">
        <f t="shared" si="46"/>
        <v>-</v>
      </c>
      <c r="AZ121" s="86" t="str">
        <f t="shared" si="47"/>
        <v>-</v>
      </c>
      <c r="BA121" s="86" t="str">
        <f t="shared" si="48"/>
        <v>-</v>
      </c>
      <c r="BB121" s="86" t="str">
        <f t="shared" si="49"/>
        <v>-</v>
      </c>
      <c r="BC121" s="86" t="str">
        <f t="shared" si="50"/>
        <v>-</v>
      </c>
      <c r="BD121" s="86" t="str">
        <f t="shared" si="51"/>
        <v>-</v>
      </c>
      <c r="BE121" s="86" t="str">
        <f t="shared" si="52"/>
        <v>-</v>
      </c>
      <c r="BF121" s="86" t="str">
        <f t="shared" si="53"/>
        <v>-</v>
      </c>
    </row>
    <row r="122" spans="1:58" x14ac:dyDescent="0.2">
      <c r="A122" s="80" t="s">
        <v>1144</v>
      </c>
      <c r="B122" s="92" t="s">
        <v>76</v>
      </c>
      <c r="C122" s="202">
        <v>8322183</v>
      </c>
      <c r="D122" s="203">
        <v>6</v>
      </c>
      <c r="E122" s="204" t="s">
        <v>1168</v>
      </c>
      <c r="F122" s="204" t="s">
        <v>1146</v>
      </c>
      <c r="G122" s="204" t="s">
        <v>1208</v>
      </c>
      <c r="H122" s="205" t="s">
        <v>663</v>
      </c>
      <c r="I122" s="205" t="s">
        <v>662</v>
      </c>
      <c r="J122" s="203">
        <v>80</v>
      </c>
      <c r="K122" s="204" t="s">
        <v>567</v>
      </c>
      <c r="L122" s="206" t="s">
        <v>502</v>
      </c>
      <c r="M122" s="210" t="s">
        <v>18</v>
      </c>
      <c r="N122" s="211">
        <v>45687</v>
      </c>
      <c r="O122" s="207">
        <v>30</v>
      </c>
      <c r="P122" s="203">
        <v>1</v>
      </c>
      <c r="Q122" s="205" t="s">
        <v>23</v>
      </c>
      <c r="R122" s="205" t="s">
        <v>11</v>
      </c>
      <c r="S122" s="205" t="s">
        <v>23</v>
      </c>
      <c r="T122" s="207">
        <v>30</v>
      </c>
      <c r="U122" s="208" t="s">
        <v>11</v>
      </c>
      <c r="V122" s="212" t="s">
        <v>11</v>
      </c>
      <c r="W122" s="212" t="s">
        <v>19</v>
      </c>
      <c r="X122" s="209">
        <v>976377</v>
      </c>
      <c r="Y122" s="213" t="s">
        <v>735</v>
      </c>
      <c r="Z122" s="209">
        <v>30</v>
      </c>
      <c r="AA122" s="209">
        <v>976377</v>
      </c>
      <c r="AB122" s="209">
        <v>976377</v>
      </c>
      <c r="AC122" s="178" t="str">
        <f>IF(OR(M122="13",M122="14",P122=8),"",IF(AND(OR(S122="AUTORIZADO", S122="PENDIENTE", S122="REDUCIDO", S122="AMPLIADO"),L122&lt;&gt;"HONORARIO" ), CONCATENATE(IF(H122="X","H",H122),"_",IF(OR(P122=5,P122=6),_xlfn.CONCAT(P122,"A"),P122),"_",VLOOKUP(T122,Datos!$B$2:$C$5,2,TRUE)),""))</f>
        <v>H_1_[11 +]</v>
      </c>
      <c r="AD122" s="178">
        <f t="shared" ref="AD122:AD156" si="54">IF(AC122="",0,AA122+AB122)</f>
        <v>1952754</v>
      </c>
      <c r="AE122" s="82" t="str">
        <f t="shared" ref="AE122:AE156" si="55">IF(A122="","Celda vacía",IF(A122="L","-","Revisar"))</f>
        <v>-</v>
      </c>
      <c r="AF122" s="83" t="str">
        <f t="shared" ref="AF122:AF156" si="56">IF(B122="","Celda vacía",IF(LEN(B122)=4,REPLACE(B122,1,6,CONCATENATE("00",B122)),IF(LEN(B122)=5,REPLACE(B122,1,6,CONCATENATE("0",B122)),IF(LEN(B122)=6,REPLACE(B122,1,6,B122),IF(AND(LEN(B122)&gt;6,OR(LEFT(B122,4)="1202", LEFT(B122,4)="1703")),REPLACE(B122,1,LEN(B122),B122),"Revisar")))))</f>
        <v>070601</v>
      </c>
      <c r="AG122" s="84"/>
      <c r="AH122" s="85" t="str">
        <f t="shared" ref="AH122:AH156" si="57">IF(B122="","Celda Vacía",IF(ISERROR(IF(B122="","",VLOOKUP(B122,Codigo,3,0))),"Corregir código servicio",IF(B122="","",VLOOKUP(B122,Codigo,3,0))))</f>
        <v>Corporación de Fomento de la Producción</v>
      </c>
      <c r="AI122" s="82" t="str">
        <f t="shared" ref="AI122:AI156" si="58">IF(C122="","Celda vacía",IF(C122&gt;1000000,"-","Revisar con Edad"))</f>
        <v>-</v>
      </c>
      <c r="AJ122" s="82">
        <f t="shared" ref="AJ122:AJ156" si="59">IF(D122="","Celda vacía",IF(IF(IF(LEN(C122)=6,(11-((RIGHT(C122,1)*2+MID(C122,5,1)*3+MID(C122,4,1)*4+MID(C122,3,1)*5+MID(C122,2,1)*6+LEFT(C122,1)*7)-(INT((RIGHT(C122,1)*2+MID(C122,5,1)*3+MID(C122,4,1)*4+MID(C122,3,1)*5+MID(C122,2,1)*6+LEFT(C122,1)*7)/11)*11))),IF(LEN(C122)=7,(11-((RIGHT(C122,1)*2+MID(C122,6,1)*3+MID(C122,5,1)*4+MID(C122,4,1)*5+MID(C122,3,1)*6+MID(C122,2,1)*7+LEFT(C122,1)*2)-(INT((RIGHT(C122,1)*2+MID(C122,6,1)*3+MID(C122,5,1)*4+MID(C122,4,1)*5+MID(C122,3,1)*6+MID(C122,2,1)*7+LEFT(C122,1)*2)/11)*11))),(11-((RIGHT(C122,1)*2+MID(C122,7,1)*3+MID(C122,6,1)*4+MID(C122,5,1)*5+MID(C122,4,1)*6+MID(C122,3,1)*7+MID(C122,2,1)*2+LEFT(C122,1)*3)-(INT((RIGHT(C122,1)*2+MID(C122,7,1)*3+MID(C122,6,1)*4+MID(C122,5,1)*5+MID(C122,4,1)*6+MID(C122,3,1)*7+MID(C122,2,1)*2+LEFT(C122,1)*3)/11)*11)))))=11,0,IF(LEN(C122)=6,(11-((RIGHT(C122,1)*2+MID(C122,5,1)*3+MID(C122,4,1)*4+MID(C122,3,1)*5+MID(C122,2,1)*6+LEFT(C122,1)*7)-(INT((RIGHT(C122,1)*2+MID(C122,5,1)*3+MID(C122,4,1)*4+MID(C122,3,1)*5+MID(C122,2,1)*6+LEFT(C122,1)*7)/11)*11))),IF(LEN(C122)=7,(11-((RIGHT(C122,1)*2+MID(C122,6,1)*3+MID(C122,5,1)*4+MID(C122,4,1)*5+MID(C122,3,1)*6+MID(C122,2,1)*7+LEFT(C122,1)*2)-(INT((RIGHT(C122,1)*2+MID(C122,6,1)*3+MID(C122,5,1)*4+MID(C122,4,1)*5+MID(C122,3,1)*6+MID(C122,2,1)*7+LEFT(C122,1)*2)/11)*11))),(11-((RIGHT(C122,1)*2+MID(C122,7,1)*3+MID(C122,6,1)*4+MID(C122,5,1)*5+MID(C122,4,1)*6+MID(C122,3,1)*7+MID(C122,2,1)*2+LEFT(C122,1)*3)-(INT((RIGHT(C122,1)*2+MID(C122,7,1)*3+MID(C122,6,1)*4+MID(C122,5,1)*5+MID(C122,4,1)*6+MID(C122,3,1)*7+MID(C122,2,1)*2+LEFT(C122,1)*3)/11)*11))))))=10,"K",IF(IF(LEN(C122)=6,(11-((RIGHT(C122,1)*2+MID(C122,5,1)*3+MID(C122,4,1)*4+MID(C122,3,1)*5+MID(C122,2,1)*6+LEFT(C122,1)*7)-(INT((RIGHT(C122,1)*2+MID(C122,5,1)*3+MID(C122,4,1)*4+MID(C122,3,1)*5+MID(C122,2,1)*6+LEFT(C122,1)*7)/11)*11))),IF(LEN(C122)=7,(11-((RIGHT(C122,1)*2+MID(C122,6,1)*3+MID(C122,5,1)*4+MID(C122,4,1)*5+MID(C122,3,1)*6+MID(C122,2,1)*7+LEFT(C122,1)*2)-(INT((RIGHT(C122,1)*2+MID(C122,6,1)*3+MID(C122,5,1)*4+MID(C122,4,1)*5+MID(C122,3,1)*6+MID(C122,2,1)*7+LEFT(C122,1)*2)/11)*11))),(11-((RIGHT(C122,1)*2+MID(C122,7,1)*3+MID(C122,6,1)*4+MID(C122,5,1)*5+MID(C122,4,1)*6+MID(C122,3,1)*7+MID(C122,2,1)*2+LEFT(C122,1)*3)-(INT((RIGHT(C122,1)*2+MID(C122,7,1)*3+MID(C122,6,1)*4+MID(C122,5,1)*5+MID(C122,4,1)*6+MID(C122,3,1)*7+MID(C122,2,1)*2+LEFT(C122,1)*3)/11)*11)))))=11,0,IF(LEN(C122)=6,(11-((RIGHT(C122,1)*2+MID(C122,5,1)*3+MID(C122,4,1)*4+MID(C122,3,1)*5+MID(C122,2,1)*6+LEFT(C122,1)*7)-(INT((RIGHT(C122,1)*2+MID(C122,5,1)*3+MID(C122,4,1)*4+MID(C122,3,1)*5+MID(C122,2,1)*6+LEFT(C122,1)*7)/11)*11))),IF(LEN(C122)=7,(11-((RIGHT(C122,1)*2+MID(C122,6,1)*3+MID(C122,5,1)*4+MID(C122,4,1)*5+MID(C122,3,1)*6+MID(C122,2,1)*7+LEFT(C122,1)*2)-(INT((RIGHT(C122,1)*2+MID(C122,6,1)*3+MID(C122,5,1)*4+MID(C122,4,1)*5+MID(C122,3,1)*6+MID(C122,2,1)*7+LEFT(C122,1)*2)/11)*11))),(11-((RIGHT(C122,1)*2+MID(C122,7,1)*3+MID(C122,6,1)*4+MID(C122,5,1)*5+MID(C122,4,1)*6+MID(C122,3,1)*7+MID(C122,2,1)*2+LEFT(C122,1)*3)-(INT((RIGHT(C122,1)*2+MID(C122,7,1)*3+MID(C122,6,1)*4+MID(C122,5,1)*5+MID(C122,4,1)*6+MID(C122,3,1)*7+MID(C122,2,1)*2+LEFT(C122,1)*3)/11)*11))))))))</f>
        <v>6</v>
      </c>
      <c r="AK122" s="82" t="str">
        <f t="shared" ref="AK122:AK156" si="60">IF(C122="","Celda vacía",IF(C122="E","-",IF(IF(AJ122=11,0,IF(AJ122=10,"K",AJ122))=D122,"-","Corregir RUN")))</f>
        <v>-</v>
      </c>
      <c r="AL122" s="82" t="str">
        <f t="shared" ref="AL122:AL156" si="61">IF(H122="","Celda vacía",IF(OR(H122="M",H122="H",H122="X"),  IF(H122="M", "Identifica este registro como MUJER",  IF(H122="H","Identifica este registro como HOMBRE", IF(H122="X","Identifica este registro como NO BINARIO"))),  "Validar con Tabla N°01")   )</f>
        <v>Identifica este registro como HOMBRE</v>
      </c>
      <c r="AM122" s="82" t="str">
        <f t="shared" ref="AM122:AM156" si="62">IF(I122="","Celda vacía",IF(ISERROR(VLOOKUP(I122,Tabla_27_Matriz_Base,1,0)),"Revisar","-"))</f>
        <v>-</v>
      </c>
      <c r="AN122" s="82" t="str">
        <f t="shared" ref="AN122:AN156" si="63">IF(J122="","Celda vacía",IF(ISERROR(VLOOKUP(J122,Tabla_04_Sist.Rem,1,0)),"Revisar","-"))</f>
        <v>-</v>
      </c>
      <c r="AO122" s="82" t="str">
        <f t="shared" ref="AO122:AO156" si="64">IF(J122="","SIST_REM vacío, no permite validar estamento",IF(OR(J122=10,J122=40,J122=60,J122=70),IF(ISERROR(VLOOKUP(K122,Tabla_06_10_40_60_70_EUS,1,0)),"Revisar. Estamento no corresponde a sist. Rem.","-"),
IF(AND(A122="l",J122=11,K122="DIRECTIVO"),"Dual",
IF(OR(J122=11,J122=12),IF(ISERROR(VLOOKUP(K122,Tabla_06_11_12_15076_19664,1,0)),"Revisar. Estamento no corresponde a sist. Rem.","-"),
IF(J122=13,IF(ISERROR(VLOOKUP(K122,Tabla_06_13,1,0)),"Revisar. Estamento no corresponde a sist. Rem.","-"),
IF(J122=14,IF(ISERROR(VLOOKUP(K122,Tabla_06_14,1,0)),"Revisar. Estamento no corresponde a sist. Rem.","-"),
IF(J122=15,IF(ISERROR(VLOOKUP(K122,Tabla_06_15,1,0)),"Revisar. Estamento no corresponde a sist. Rem.","-"),
IF(OR(J122=90),IF(ISERROR(VLOOKUP(K122,Tabla_06_90_Personal_Fuera_de_Dotacion,1,0)),"Revisar. Estamento no corresponde a sist. Rem.","-"),
IF(J122=61,IF(ISERROR(VLOOKUP(K122,Tabla_06_DFL29_61_Experimentales,1,0)),"Revisar. Estamento no corresponde a sist. Rem.","-"),IF(J122=20,IF(ISERROR(VLOOKUP(K122,Tabla_06_20_Fiscalizadores,1,0)),"Revisar. Estamento no corresponde a sist. Rem.","-"),IF(J122=80,IF(ISERROR(VLOOKUP(K122,Tabla_06_80_Codigo_del_Trabajo,1,0)),"Revisar. Estamento no corresponde a sist. Rem.","-"),                    IF(J122=30,IF(ISERROR(VLOOKUP(K122,Tabla_06_30_Poder_Judicial,1,0)),"Revisar. Estamento no corresponde a sist. Rem.","-"),IF(ISERROR(VLOOKUP(K122,Tabla_06_50_Ministerio_Publico,1,0)),"Revisar","-")))))))))))))</f>
        <v>-</v>
      </c>
      <c r="AP122" s="57" t="str">
        <f t="shared" ref="AP122:AP156" si="65">IF(L122="","Celda vacía",IF(ISERROR(VLOOKUP(L122,Tabla_Personal,1,0)),"Revisar","-"))</f>
        <v>-</v>
      </c>
      <c r="AQ122" s="86" t="str">
        <f t="shared" ref="AQ122:AQ156" si="66">IF(M122="","Celda vacía",IF(ISERROR(VLOOKUP(M122,Tabla_01_Mes,1,0)),"Revisar","-"))</f>
        <v>-</v>
      </c>
      <c r="AR122" s="86" t="str">
        <f>IF(N122="","PRIMER_DIA en blanco",
IF(AND(M122="01",N122&gt;=L_Conversion!$C$118,N122&lt;=L_Conversion!$D$118),"-",
IF(AND(M122="02",N122&gt;=L_Conversion!$C$119,N122&lt;=L_Conversion!$D$119),"-",
IF(AND(M122="03",N122&gt;=L_Conversion!$C$120,N122&lt;=L_Conversion!$D$120),"-",
IF(AND(M122="04",N122&gt;=L_Conversion!$C$121,N122&lt;=L_Conversion!$D$121),"-",
IF(AND(M122="05",N122&gt;=L_Conversion!$C$122,N122&lt;=L_Conversion!$D$122),"-",
IF(AND(M122="06",N122&gt;=L_Conversion!$C$123,N122&lt;=L_Conversion!$D$123),"-",
IF(AND(M122="07",N122&gt;=L_Conversion!$C$124,N122&lt;=L_Conversion!$D$124),"-",
IF(AND(M122="08",N122&gt;=L_Conversion!$C$125,N122&lt;=L_Conversion!$D$125),"-",
IF(AND(M122="09",N122&gt;=L_Conversion!$C$126,N122&lt;=L_Conversion!$D$126),"-",
IF(AND(M122="10",N122&gt;=L_Conversion!$C$127,N122&lt;=L_Conversion!$D$127),"-",
IF(AND(M122="11",N122&gt;=L_Conversion!$C$128,N122&lt;=L_Conversion!$D$128),"-",
IF(AND(M122="12",N122&gt;=L_Conversion!$C$129,N122&lt;=L_Conversion!$D$129),"-",
IF(AND(M122="13",N122&gt;=L_Conversion!$C$116,N122&lt;=L_Conversion!$D$116),"-",
IF(AND(M122="14",N122&gt;=L_Conversion!$C$117,N122&lt;=L_Conversion!$D$117),"-",
"PRIMER_DIA fuera de rango")))))))))))))))</f>
        <v>-</v>
      </c>
      <c r="AS122" s="86" t="str">
        <f t="shared" ref="AS122:AS156" si="67">IF(O122="","Celda vacía",IF(AND(ISERROR(VLOOKUP(P122,Tabla_18_Tipos_licencias,1,FALSE))=FALSE,O122&gt;=0,O122&lt;=365),IF(P122=8,IF(H122="M",IF(ISERROR(VLOOKUP(O122,Dias_Licencia_Tipo_8_M,1,0)),"Revisar días licencia tipo 8","-"),IF(ISERROR(VLOOKUP(O122,Dias_licencia_tipo_8_H,1,0)),"Revisar días licencia tipo 8","-")),"-"),"Se debe revisar los campos TIPO_LM y N_DIAS"))</f>
        <v>-</v>
      </c>
      <c r="AT122" s="86" t="str">
        <f t="shared" ref="AT122:AT156" si="68">IF(P122="","Celda vacía",IF(ISERROR(VLOOKUP(P122,Tabla_18_Tipos_licencias,1,FALSE))=FALSE,IF(H122="M","-",IF(P122=7,"Revisar","-")),"Revisar"))</f>
        <v>-</v>
      </c>
      <c r="AU122" s="86" t="str">
        <f t="shared" ref="AU122:AU156" si="69">IF(Q122="","Celda vacía",IF(AND(OR(L122="HAG",L122="HONORARIO"),OR(Q122="AUTORIZADO",Q122="REDUCIDO",Q122="RECHAZADO",Q122="PENDIENTE",Q122="AMPLIADO")),"Revisar Calidad Jurídica",IF(AND(OR(L122="HAG",L122="HONORARIO"),Q122="NC"),"-",IF(ISERROR(VLOOKUP(Q122,Tabla_04_Estado_Resolucion,1,0)),"Revisar",IF(AND(Q122="PENDIENTE",($BG$1-N122)&gt;60),"Validar estado PENDIENTE",  IF(AND(OR(L122="CONTRATA",L122="PLANTA", L122="CT", L122="JP", L122="JORNAL", L122="CONTRATA_FD", L122="CT_FD", L122="ADSCRITO", L122="LGN", L122="VIGILANTE", L122="BECARIOS", L122="PLANTA_FD"),Q122&lt;&gt;"NC"),"-","Revisar Calidad Jurídica"))))))</f>
        <v>-</v>
      </c>
      <c r="AV122" s="86" t="str">
        <f t="shared" ref="AV122:AV156" si="70">IF(R122="","Celda vacía",IF(AND(OR(Q122="AUTORIZADO",Q122="PENDIENTE",Q122="NC",Q122="AMPLIADO"),R122="N"),"-",IF(AND(OR(Q122="REDUCIDO",Q122="RECHAZADO"),OR(R122="S",R122="N")),"-","Revisar")))</f>
        <v>-</v>
      </c>
      <c r="AW122" s="86" t="str">
        <f t="shared" ref="AW122:AW156" si="71">IF(Q122="","Celda vacía",IF(AND(R122="N",Q122=S122),"-",IF(AND(S122="PENDIENTE",($BG$1-N122)&gt;60),"Validar estado PENDIENTE",IF(AND(R122="S",OR(S122="AUTORIZADO",S122="PENDIENTE"),T122=O122),"-",IF(AND(R122="S",S122="REDUCIDO",T122&lt;O122,T122&gt;0),"-",IF(AND(R122="S",S122="RECHAZADO",T122=0),"-",IF(AND(Q122="NC",S122="NC",T122=O122),"-","Revisar")))))))</f>
        <v>-</v>
      </c>
      <c r="AX122" s="86" t="str">
        <f t="shared" ref="AX122:AX156" si="72">IF(T122="","Celda Vacía",IF(AND(OR(S122="AUTORIZADO",S122="PENDIENTE",S122="NC"),O122=T122),"-",IF(AND(S122="REDUCIDO",T122&gt;0,T122&lt;O122),"-",IF(AND(S122="RECHAZADO",T122=0),"-",   IF(AND(S122="AMPLIADO",T122&gt;O122),"-",       "Revisar" )))))</f>
        <v>-</v>
      </c>
      <c r="AY122" s="86" t="str">
        <f t="shared" ref="AY122:AY156" si="73">IF(U122="","Celda vacía",IF(OR(U122="S",U122="N"),"-","Revisar"))</f>
        <v>-</v>
      </c>
      <c r="AZ122" s="86" t="str">
        <f t="shared" ref="AZ122:AZ156" si="74">IF(V122="","Celda vacía",IF(OR(V122="S",V122="N"),"-","Revisar"))</f>
        <v>-</v>
      </c>
      <c r="BA122" s="86" t="str">
        <f t="shared" ref="BA122:BA156" si="75">IF(W122="","Celda vacía",IF(OR(W122="S",W122="N"),"-","Revisar"))</f>
        <v>-</v>
      </c>
      <c r="BB122" s="86" t="str">
        <f t="shared" ref="BB122:BB156" si="76">IF(X122="","Celda Vacia",IF(  OR(          AND(X122=0,W122="S"),AND(X122&lt;&gt;0,W122="N")),"Revisar valor del campo MONTO_SUB","-"))</f>
        <v>-</v>
      </c>
      <c r="BC122" s="86" t="str">
        <f t="shared" ref="BC122:BC156" si="77">IF(Y122="","Celda Vacia",IF(ISERROR(VLOOKUP(Y122,Tabla_33_estado_recuperacion,1,FALSE)),"Se debe corregir el valor según Tabla Nro 33",IF(Y122="SDR",IF(OR(S122="RECHAZADO",W122="N"),"-","Se debe revisar  ESTADO SDR"),IF(Y122="PEN",IF(OR(S122="AUTORIZADO",S122="REDUCIDO",S122="PENDIENTE"),"-","Se debe revisar ESTADO PEN"),IF(AND(OR(W122="S",W122="N"),OR(Y122="TOT",Y122="PAR"),OR(S122="AUTORIZADO",S122="REDUCIDO")),"-","Revisar ER2 Y ESTADO_REC")))))</f>
        <v>-</v>
      </c>
      <c r="BD122" s="86" t="str">
        <f t="shared" ref="BD122:BD156" si="78">IF(Z122="","Celda Vacia", IF(Z122&gt;T122,"Dias recuperados no puede ser mayor a dias autorizados", IF(ISNUMBER(Z122)=TRUE,IF(Z122=0,IF(OR(Y122="SDR",Y122="PEN"),"-",IF(AND(T122&lt;4,OR(Y122="TOT",Y122="PAR")),"-","Se debe revisar los Campos N_DIAS_REC y ESTADO_REC")),IF(AND(Z122&gt;0,Z122&lt;366,OR(Y122="TOT",Y122="PAR")),"-","Se debe revisar los campos ESTADO_REC y N_DIAS_REC")),"Valor del campo N_DIAS_REC no es numérico"))    )</f>
        <v>-</v>
      </c>
      <c r="BE122" s="86" t="str">
        <f t="shared" ref="BE122:BE156" si="79">IF(AA122="","Celda vacia",
IF( AND(AA122=0,(OR(Y122="PEN",Y122="SDR"))),"-",
IF(AND(T122&lt;4,OR(P122="5A",P122="5B",P122="6A",P122="6B"),AA122&gt;=0),"-",
IF(AND(T122&lt;4,P122&lt;&gt;"5A",P122&lt;&gt;"5B",P122&lt;&gt;"6A",P122&lt;&gt;"6B",AA122=0),"-",
IF(AND(T122&lt;4,P122&lt;&gt;"5A",P122&lt;&gt;"5B",P122&lt;&gt;"6A",P122&lt;&gt;"6B",V122="S",AA122&gt;=0),"-",
IF(AND(T122&gt;=4,AA122&gt;0, OR(Y122="TOT",Y122="PAR")),"-",
"Revisar el tipo de licencia medica, dias de licencia para el monto de recuperación declarado"))))))</f>
        <v>-</v>
      </c>
      <c r="BF122" s="86" t="str">
        <f t="shared" ref="BF122:BF156" si="80">IF(AB122="","Celda vacia",IF(ISNUMBER(AB122)=TRUE,IF(AB122=0,IF(OR(Y122="PEN",Y122="SDR"),"-","revisar "),IF(OR(Y122="TOT",Y122="PAR"),"-","Revisar")),"Valor del campo no es numérico"))</f>
        <v>-</v>
      </c>
    </row>
    <row r="123" spans="1:58" x14ac:dyDescent="0.2">
      <c r="A123" s="80" t="s">
        <v>1144</v>
      </c>
      <c r="B123" s="92" t="s">
        <v>76</v>
      </c>
      <c r="C123" s="202">
        <v>14399372</v>
      </c>
      <c r="D123" s="203">
        <v>8</v>
      </c>
      <c r="E123" s="204" t="s">
        <v>1264</v>
      </c>
      <c r="F123" s="204" t="s">
        <v>1163</v>
      </c>
      <c r="G123" s="204" t="s">
        <v>1422</v>
      </c>
      <c r="H123" s="205" t="s">
        <v>1033</v>
      </c>
      <c r="I123" s="205" t="s">
        <v>662</v>
      </c>
      <c r="J123" s="203">
        <v>80</v>
      </c>
      <c r="K123" s="204" t="s">
        <v>563</v>
      </c>
      <c r="L123" s="206" t="s">
        <v>502</v>
      </c>
      <c r="M123" s="210" t="s">
        <v>18</v>
      </c>
      <c r="N123" s="211">
        <v>45688</v>
      </c>
      <c r="O123" s="207">
        <v>11</v>
      </c>
      <c r="P123" s="203">
        <v>1</v>
      </c>
      <c r="Q123" s="205" t="s">
        <v>23</v>
      </c>
      <c r="R123" s="205" t="s">
        <v>11</v>
      </c>
      <c r="S123" s="205" t="s">
        <v>23</v>
      </c>
      <c r="T123" s="207">
        <v>11</v>
      </c>
      <c r="U123" s="208" t="s">
        <v>11</v>
      </c>
      <c r="V123" s="212" t="s">
        <v>11</v>
      </c>
      <c r="W123" s="212" t="s">
        <v>19</v>
      </c>
      <c r="X123" s="209">
        <v>823955</v>
      </c>
      <c r="Y123" s="213" t="s">
        <v>735</v>
      </c>
      <c r="Z123" s="209">
        <v>11</v>
      </c>
      <c r="AA123" s="209">
        <v>823955</v>
      </c>
      <c r="AB123" s="209">
        <v>823955</v>
      </c>
      <c r="AC123" s="178" t="str">
        <f>IF(OR(M123="13",M123="14",P123=8),"",IF(AND(OR(S123="AUTORIZADO", S123="PENDIENTE", S123="REDUCIDO", S123="AMPLIADO"),L123&lt;&gt;"HONORARIO" ), CONCATENATE(IF(H123="X","H",H123),"_",IF(OR(P123=5,P123=6),_xlfn.CONCAT(P123,"A"),P123),"_",VLOOKUP(T123,Datos!$B$2:$C$5,2,TRUE)),""))</f>
        <v>M_1_[11 +]</v>
      </c>
      <c r="AD123" s="178">
        <f t="shared" si="54"/>
        <v>1647910</v>
      </c>
      <c r="AE123" s="82" t="str">
        <f t="shared" si="55"/>
        <v>-</v>
      </c>
      <c r="AF123" s="83" t="str">
        <f t="shared" si="56"/>
        <v>070601</v>
      </c>
      <c r="AG123" s="84"/>
      <c r="AH123" s="85" t="str">
        <f t="shared" si="57"/>
        <v>Corporación de Fomento de la Producción</v>
      </c>
      <c r="AI123" s="82" t="str">
        <f t="shared" si="58"/>
        <v>-</v>
      </c>
      <c r="AJ123" s="82">
        <f t="shared" si="59"/>
        <v>8</v>
      </c>
      <c r="AK123" s="82" t="str">
        <f t="shared" si="60"/>
        <v>-</v>
      </c>
      <c r="AL123" s="82" t="str">
        <f t="shared" si="61"/>
        <v>Identifica este registro como MUJER</v>
      </c>
      <c r="AM123" s="82" t="str">
        <f t="shared" si="62"/>
        <v>-</v>
      </c>
      <c r="AN123" s="82" t="str">
        <f t="shared" si="63"/>
        <v>-</v>
      </c>
      <c r="AO123" s="82" t="str">
        <f t="shared" si="64"/>
        <v>-</v>
      </c>
      <c r="AP123" s="57" t="str">
        <f t="shared" si="65"/>
        <v>-</v>
      </c>
      <c r="AQ123" s="86" t="str">
        <f t="shared" si="66"/>
        <v>-</v>
      </c>
      <c r="AR123" s="86" t="str">
        <f>IF(N123="","PRIMER_DIA en blanco",
IF(AND(M123="01",N123&gt;=L_Conversion!$C$118,N123&lt;=L_Conversion!$D$118),"-",
IF(AND(M123="02",N123&gt;=L_Conversion!$C$119,N123&lt;=L_Conversion!$D$119),"-",
IF(AND(M123="03",N123&gt;=L_Conversion!$C$120,N123&lt;=L_Conversion!$D$120),"-",
IF(AND(M123="04",N123&gt;=L_Conversion!$C$121,N123&lt;=L_Conversion!$D$121),"-",
IF(AND(M123="05",N123&gt;=L_Conversion!$C$122,N123&lt;=L_Conversion!$D$122),"-",
IF(AND(M123="06",N123&gt;=L_Conversion!$C$123,N123&lt;=L_Conversion!$D$123),"-",
IF(AND(M123="07",N123&gt;=L_Conversion!$C$124,N123&lt;=L_Conversion!$D$124),"-",
IF(AND(M123="08",N123&gt;=L_Conversion!$C$125,N123&lt;=L_Conversion!$D$125),"-",
IF(AND(M123="09",N123&gt;=L_Conversion!$C$126,N123&lt;=L_Conversion!$D$126),"-",
IF(AND(M123="10",N123&gt;=L_Conversion!$C$127,N123&lt;=L_Conversion!$D$127),"-",
IF(AND(M123="11",N123&gt;=L_Conversion!$C$128,N123&lt;=L_Conversion!$D$128),"-",
IF(AND(M123="12",N123&gt;=L_Conversion!$C$129,N123&lt;=L_Conversion!$D$129),"-",
IF(AND(M123="13",N123&gt;=L_Conversion!$C$116,N123&lt;=L_Conversion!$D$116),"-",
IF(AND(M123="14",N123&gt;=L_Conversion!$C$117,N123&lt;=L_Conversion!$D$117),"-",
"PRIMER_DIA fuera de rango")))))))))))))))</f>
        <v>-</v>
      </c>
      <c r="AS123" s="86" t="str">
        <f t="shared" si="67"/>
        <v>-</v>
      </c>
      <c r="AT123" s="86" t="str">
        <f t="shared" si="68"/>
        <v>-</v>
      </c>
      <c r="AU123" s="86" t="str">
        <f t="shared" si="69"/>
        <v>-</v>
      </c>
      <c r="AV123" s="86" t="str">
        <f t="shared" si="70"/>
        <v>-</v>
      </c>
      <c r="AW123" s="86" t="str">
        <f t="shared" si="71"/>
        <v>-</v>
      </c>
      <c r="AX123" s="86" t="str">
        <f t="shared" si="72"/>
        <v>-</v>
      </c>
      <c r="AY123" s="86" t="str">
        <f t="shared" si="73"/>
        <v>-</v>
      </c>
      <c r="AZ123" s="86" t="str">
        <f t="shared" si="74"/>
        <v>-</v>
      </c>
      <c r="BA123" s="86" t="str">
        <f t="shared" si="75"/>
        <v>-</v>
      </c>
      <c r="BB123" s="86" t="str">
        <f t="shared" si="76"/>
        <v>-</v>
      </c>
      <c r="BC123" s="86" t="str">
        <f t="shared" si="77"/>
        <v>-</v>
      </c>
      <c r="BD123" s="86" t="str">
        <f t="shared" si="78"/>
        <v>-</v>
      </c>
      <c r="BE123" s="86" t="str">
        <f t="shared" si="79"/>
        <v>-</v>
      </c>
      <c r="BF123" s="86" t="str">
        <f t="shared" si="80"/>
        <v>-</v>
      </c>
    </row>
    <row r="124" spans="1:58" x14ac:dyDescent="0.2">
      <c r="A124" s="80" t="s">
        <v>1144</v>
      </c>
      <c r="B124" s="92" t="s">
        <v>76</v>
      </c>
      <c r="C124" s="202">
        <v>17316812</v>
      </c>
      <c r="D124" s="203">
        <v>8</v>
      </c>
      <c r="E124" s="204" t="s">
        <v>1154</v>
      </c>
      <c r="F124" s="204" t="s">
        <v>1412</v>
      </c>
      <c r="G124" s="204" t="s">
        <v>1413</v>
      </c>
      <c r="H124" s="205" t="s">
        <v>663</v>
      </c>
      <c r="I124" s="205" t="s">
        <v>662</v>
      </c>
      <c r="J124" s="203">
        <v>80</v>
      </c>
      <c r="K124" s="204" t="s">
        <v>563</v>
      </c>
      <c r="L124" s="206" t="s">
        <v>502</v>
      </c>
      <c r="M124" s="210" t="s">
        <v>18</v>
      </c>
      <c r="N124" s="211">
        <v>45688</v>
      </c>
      <c r="O124" s="207">
        <v>2</v>
      </c>
      <c r="P124" s="203">
        <v>1</v>
      </c>
      <c r="Q124" s="205" t="s">
        <v>23</v>
      </c>
      <c r="R124" s="205" t="s">
        <v>11</v>
      </c>
      <c r="S124" s="205" t="s">
        <v>23</v>
      </c>
      <c r="T124" s="207">
        <v>2</v>
      </c>
      <c r="U124" s="208" t="s">
        <v>11</v>
      </c>
      <c r="V124" s="212" t="s">
        <v>19</v>
      </c>
      <c r="W124" s="212" t="s">
        <v>19</v>
      </c>
      <c r="X124" s="209">
        <v>29578</v>
      </c>
      <c r="Y124" s="213" t="s">
        <v>735</v>
      </c>
      <c r="Z124" s="209">
        <v>2</v>
      </c>
      <c r="AA124" s="209">
        <v>29578</v>
      </c>
      <c r="AB124" s="209">
        <v>29578</v>
      </c>
      <c r="AC124" s="178" t="str">
        <f>IF(OR(M124="13",M124="14",P124=8),"",IF(AND(OR(S124="AUTORIZADO", S124="PENDIENTE", S124="REDUCIDO", S124="AMPLIADO"),L124&lt;&gt;"HONORARIO" ), CONCATENATE(IF(H124="X","H",H124),"_",IF(OR(P124=5,P124=6),_xlfn.CONCAT(P124,"A"),P124),"_",VLOOKUP(T124,Datos!$B$2:$C$5,2,TRUE)),""))</f>
        <v>H_1_[hasta 3]</v>
      </c>
      <c r="AD124" s="178">
        <f t="shared" si="54"/>
        <v>59156</v>
      </c>
      <c r="AE124" s="82" t="str">
        <f t="shared" si="55"/>
        <v>-</v>
      </c>
      <c r="AF124" s="83" t="str">
        <f t="shared" si="56"/>
        <v>070601</v>
      </c>
      <c r="AG124" s="84"/>
      <c r="AH124" s="85" t="str">
        <f t="shared" si="57"/>
        <v>Corporación de Fomento de la Producción</v>
      </c>
      <c r="AI124" s="82" t="str">
        <f t="shared" si="58"/>
        <v>-</v>
      </c>
      <c r="AJ124" s="82">
        <f t="shared" si="59"/>
        <v>8</v>
      </c>
      <c r="AK124" s="82" t="str">
        <f t="shared" si="60"/>
        <v>-</v>
      </c>
      <c r="AL124" s="82" t="str">
        <f t="shared" si="61"/>
        <v>Identifica este registro como HOMBRE</v>
      </c>
      <c r="AM124" s="82" t="str">
        <f t="shared" si="62"/>
        <v>-</v>
      </c>
      <c r="AN124" s="82" t="str">
        <f t="shared" si="63"/>
        <v>-</v>
      </c>
      <c r="AO124" s="82" t="str">
        <f t="shared" si="64"/>
        <v>-</v>
      </c>
      <c r="AP124" s="57" t="str">
        <f t="shared" si="65"/>
        <v>-</v>
      </c>
      <c r="AQ124" s="86" t="str">
        <f t="shared" si="66"/>
        <v>-</v>
      </c>
      <c r="AR124" s="86" t="str">
        <f>IF(N124="","PRIMER_DIA en blanco",
IF(AND(M124="01",N124&gt;=L_Conversion!$C$118,N124&lt;=L_Conversion!$D$118),"-",
IF(AND(M124="02",N124&gt;=L_Conversion!$C$119,N124&lt;=L_Conversion!$D$119),"-",
IF(AND(M124="03",N124&gt;=L_Conversion!$C$120,N124&lt;=L_Conversion!$D$120),"-",
IF(AND(M124="04",N124&gt;=L_Conversion!$C$121,N124&lt;=L_Conversion!$D$121),"-",
IF(AND(M124="05",N124&gt;=L_Conversion!$C$122,N124&lt;=L_Conversion!$D$122),"-",
IF(AND(M124="06",N124&gt;=L_Conversion!$C$123,N124&lt;=L_Conversion!$D$123),"-",
IF(AND(M124="07",N124&gt;=L_Conversion!$C$124,N124&lt;=L_Conversion!$D$124),"-",
IF(AND(M124="08",N124&gt;=L_Conversion!$C$125,N124&lt;=L_Conversion!$D$125),"-",
IF(AND(M124="09",N124&gt;=L_Conversion!$C$126,N124&lt;=L_Conversion!$D$126),"-",
IF(AND(M124="10",N124&gt;=L_Conversion!$C$127,N124&lt;=L_Conversion!$D$127),"-",
IF(AND(M124="11",N124&gt;=L_Conversion!$C$128,N124&lt;=L_Conversion!$D$128),"-",
IF(AND(M124="12",N124&gt;=L_Conversion!$C$129,N124&lt;=L_Conversion!$D$129),"-",
IF(AND(M124="13",N124&gt;=L_Conversion!$C$116,N124&lt;=L_Conversion!$D$116),"-",
IF(AND(M124="14",N124&gt;=L_Conversion!$C$117,N124&lt;=L_Conversion!$D$117),"-",
"PRIMER_DIA fuera de rango")))))))))))))))</f>
        <v>-</v>
      </c>
      <c r="AS124" s="86" t="str">
        <f t="shared" si="67"/>
        <v>-</v>
      </c>
      <c r="AT124" s="86" t="str">
        <f t="shared" si="68"/>
        <v>-</v>
      </c>
      <c r="AU124" s="86" t="str">
        <f t="shared" si="69"/>
        <v>-</v>
      </c>
      <c r="AV124" s="86" t="str">
        <f t="shared" si="70"/>
        <v>-</v>
      </c>
      <c r="AW124" s="86" t="str">
        <f t="shared" si="71"/>
        <v>-</v>
      </c>
      <c r="AX124" s="86" t="str">
        <f t="shared" si="72"/>
        <v>-</v>
      </c>
      <c r="AY124" s="86" t="str">
        <f t="shared" si="73"/>
        <v>-</v>
      </c>
      <c r="AZ124" s="86" t="str">
        <f t="shared" si="74"/>
        <v>-</v>
      </c>
      <c r="BA124" s="86" t="str">
        <f t="shared" si="75"/>
        <v>-</v>
      </c>
      <c r="BB124" s="86" t="str">
        <f t="shared" si="76"/>
        <v>-</v>
      </c>
      <c r="BC124" s="86" t="str">
        <f t="shared" si="77"/>
        <v>-</v>
      </c>
      <c r="BD124" s="86" t="str">
        <f t="shared" si="78"/>
        <v>-</v>
      </c>
      <c r="BE124" s="86" t="str">
        <f t="shared" si="79"/>
        <v>-</v>
      </c>
      <c r="BF124" s="86" t="str">
        <f t="shared" si="80"/>
        <v>-</v>
      </c>
    </row>
    <row r="125" spans="1:58" x14ac:dyDescent="0.2">
      <c r="A125" s="80" t="s">
        <v>1144</v>
      </c>
      <c r="B125" s="92" t="s">
        <v>76</v>
      </c>
      <c r="C125" s="202">
        <v>13984355</v>
      </c>
      <c r="D125" s="203" t="s">
        <v>1151</v>
      </c>
      <c r="E125" s="204" t="s">
        <v>1271</v>
      </c>
      <c r="F125" s="204" t="s">
        <v>1272</v>
      </c>
      <c r="G125" s="204" t="s">
        <v>1273</v>
      </c>
      <c r="H125" s="205" t="s">
        <v>1033</v>
      </c>
      <c r="I125" s="205" t="s">
        <v>662</v>
      </c>
      <c r="J125" s="203">
        <v>80</v>
      </c>
      <c r="K125" s="204" t="s">
        <v>563</v>
      </c>
      <c r="L125" s="206" t="s">
        <v>502</v>
      </c>
      <c r="M125" s="210" t="s">
        <v>18</v>
      </c>
      <c r="N125" s="211">
        <v>45688</v>
      </c>
      <c r="O125" s="207">
        <v>1</v>
      </c>
      <c r="P125" s="203">
        <v>1</v>
      </c>
      <c r="Q125" s="205" t="s">
        <v>23</v>
      </c>
      <c r="R125" s="205" t="s">
        <v>11</v>
      </c>
      <c r="S125" s="205" t="s">
        <v>23</v>
      </c>
      <c r="T125" s="207">
        <v>1</v>
      </c>
      <c r="U125" s="208" t="s">
        <v>11</v>
      </c>
      <c r="V125" s="212" t="s">
        <v>19</v>
      </c>
      <c r="W125" s="212" t="s">
        <v>19</v>
      </c>
      <c r="X125" s="209">
        <v>18647</v>
      </c>
      <c r="Y125" s="213" t="s">
        <v>735</v>
      </c>
      <c r="Z125" s="209">
        <v>1</v>
      </c>
      <c r="AA125" s="209">
        <v>18647</v>
      </c>
      <c r="AB125" s="209">
        <v>18647</v>
      </c>
      <c r="AC125" s="178" t="str">
        <f>IF(OR(M125="13",M125="14",P125=8),"",IF(AND(OR(S125="AUTORIZADO", S125="PENDIENTE", S125="REDUCIDO", S125="AMPLIADO"),L125&lt;&gt;"HONORARIO" ), CONCATENATE(IF(H125="X","H",H125),"_",IF(OR(P125=5,P125=6),_xlfn.CONCAT(P125,"A"),P125),"_",VLOOKUP(T125,Datos!$B$2:$C$5,2,TRUE)),""))</f>
        <v>M_1_[hasta 3]</v>
      </c>
      <c r="AD125" s="178">
        <f t="shared" si="54"/>
        <v>37294</v>
      </c>
      <c r="AE125" s="82" t="str">
        <f t="shared" si="55"/>
        <v>-</v>
      </c>
      <c r="AF125" s="83" t="str">
        <f t="shared" si="56"/>
        <v>070601</v>
      </c>
      <c r="AG125" s="84"/>
      <c r="AH125" s="85" t="str">
        <f t="shared" si="57"/>
        <v>Corporación de Fomento de la Producción</v>
      </c>
      <c r="AI125" s="82" t="str">
        <f t="shared" si="58"/>
        <v>-</v>
      </c>
      <c r="AJ125" s="82" t="str">
        <f t="shared" si="59"/>
        <v>K</v>
      </c>
      <c r="AK125" s="82" t="str">
        <f t="shared" si="60"/>
        <v>-</v>
      </c>
      <c r="AL125" s="82" t="str">
        <f t="shared" si="61"/>
        <v>Identifica este registro como MUJER</v>
      </c>
      <c r="AM125" s="82" t="str">
        <f t="shared" si="62"/>
        <v>-</v>
      </c>
      <c r="AN125" s="82" t="str">
        <f t="shared" si="63"/>
        <v>-</v>
      </c>
      <c r="AO125" s="82" t="str">
        <f t="shared" si="64"/>
        <v>-</v>
      </c>
      <c r="AP125" s="57" t="str">
        <f t="shared" si="65"/>
        <v>-</v>
      </c>
      <c r="AQ125" s="86" t="str">
        <f t="shared" si="66"/>
        <v>-</v>
      </c>
      <c r="AR125" s="86" t="str">
        <f>IF(N125="","PRIMER_DIA en blanco",
IF(AND(M125="01",N125&gt;=L_Conversion!$C$118,N125&lt;=L_Conversion!$D$118),"-",
IF(AND(M125="02",N125&gt;=L_Conversion!$C$119,N125&lt;=L_Conversion!$D$119),"-",
IF(AND(M125="03",N125&gt;=L_Conversion!$C$120,N125&lt;=L_Conversion!$D$120),"-",
IF(AND(M125="04",N125&gt;=L_Conversion!$C$121,N125&lt;=L_Conversion!$D$121),"-",
IF(AND(M125="05",N125&gt;=L_Conversion!$C$122,N125&lt;=L_Conversion!$D$122),"-",
IF(AND(M125="06",N125&gt;=L_Conversion!$C$123,N125&lt;=L_Conversion!$D$123),"-",
IF(AND(M125="07",N125&gt;=L_Conversion!$C$124,N125&lt;=L_Conversion!$D$124),"-",
IF(AND(M125="08",N125&gt;=L_Conversion!$C$125,N125&lt;=L_Conversion!$D$125),"-",
IF(AND(M125="09",N125&gt;=L_Conversion!$C$126,N125&lt;=L_Conversion!$D$126),"-",
IF(AND(M125="10",N125&gt;=L_Conversion!$C$127,N125&lt;=L_Conversion!$D$127),"-",
IF(AND(M125="11",N125&gt;=L_Conversion!$C$128,N125&lt;=L_Conversion!$D$128),"-",
IF(AND(M125="12",N125&gt;=L_Conversion!$C$129,N125&lt;=L_Conversion!$D$129),"-",
IF(AND(M125="13",N125&gt;=L_Conversion!$C$116,N125&lt;=L_Conversion!$D$116),"-",
IF(AND(M125="14",N125&gt;=L_Conversion!$C$117,N125&lt;=L_Conversion!$D$117),"-",
"PRIMER_DIA fuera de rango")))))))))))))))</f>
        <v>-</v>
      </c>
      <c r="AS125" s="86" t="str">
        <f t="shared" si="67"/>
        <v>-</v>
      </c>
      <c r="AT125" s="86" t="str">
        <f t="shared" si="68"/>
        <v>-</v>
      </c>
      <c r="AU125" s="86" t="str">
        <f t="shared" si="69"/>
        <v>-</v>
      </c>
      <c r="AV125" s="86" t="str">
        <f t="shared" si="70"/>
        <v>-</v>
      </c>
      <c r="AW125" s="86" t="str">
        <f t="shared" si="71"/>
        <v>-</v>
      </c>
      <c r="AX125" s="86" t="str">
        <f t="shared" si="72"/>
        <v>-</v>
      </c>
      <c r="AY125" s="86" t="str">
        <f t="shared" si="73"/>
        <v>-</v>
      </c>
      <c r="AZ125" s="86" t="str">
        <f t="shared" si="74"/>
        <v>-</v>
      </c>
      <c r="BA125" s="86" t="str">
        <f t="shared" si="75"/>
        <v>-</v>
      </c>
      <c r="BB125" s="86" t="str">
        <f t="shared" si="76"/>
        <v>-</v>
      </c>
      <c r="BC125" s="86" t="str">
        <f t="shared" si="77"/>
        <v>-</v>
      </c>
      <c r="BD125" s="86" t="str">
        <f t="shared" si="78"/>
        <v>-</v>
      </c>
      <c r="BE125" s="86" t="str">
        <f t="shared" si="79"/>
        <v>-</v>
      </c>
      <c r="BF125" s="86" t="str">
        <f t="shared" si="80"/>
        <v>-</v>
      </c>
    </row>
    <row r="126" spans="1:58" x14ac:dyDescent="0.2">
      <c r="A126" s="80" t="s">
        <v>1144</v>
      </c>
      <c r="B126" s="92" t="s">
        <v>76</v>
      </c>
      <c r="C126" s="202">
        <v>10706174</v>
      </c>
      <c r="D126" s="203">
        <v>6</v>
      </c>
      <c r="E126" s="204" t="s">
        <v>1336</v>
      </c>
      <c r="F126" s="204" t="s">
        <v>1165</v>
      </c>
      <c r="G126" s="204" t="s">
        <v>1337</v>
      </c>
      <c r="H126" s="205" t="s">
        <v>663</v>
      </c>
      <c r="I126" s="205" t="s">
        <v>663</v>
      </c>
      <c r="J126" s="203">
        <v>80</v>
      </c>
      <c r="K126" s="204" t="s">
        <v>567</v>
      </c>
      <c r="L126" s="206" t="s">
        <v>519</v>
      </c>
      <c r="M126" s="210" t="s">
        <v>18</v>
      </c>
      <c r="N126" s="211">
        <v>45688</v>
      </c>
      <c r="O126" s="207">
        <v>14</v>
      </c>
      <c r="P126" s="203">
        <v>1</v>
      </c>
      <c r="Q126" s="205" t="s">
        <v>23</v>
      </c>
      <c r="R126" s="205" t="s">
        <v>11</v>
      </c>
      <c r="S126" s="205" t="s">
        <v>23</v>
      </c>
      <c r="T126" s="207">
        <v>14</v>
      </c>
      <c r="U126" s="208" t="s">
        <v>11</v>
      </c>
      <c r="V126" s="212" t="s">
        <v>11</v>
      </c>
      <c r="W126" s="212" t="s">
        <v>19</v>
      </c>
      <c r="X126" s="209">
        <v>517440</v>
      </c>
      <c r="Y126" s="213" t="s">
        <v>735</v>
      </c>
      <c r="Z126" s="209">
        <v>14</v>
      </c>
      <c r="AA126" s="209">
        <v>517440</v>
      </c>
      <c r="AB126" s="209">
        <v>517440</v>
      </c>
      <c r="AC126" s="178" t="str">
        <f>IF(OR(M126="13",M126="14",P126=8),"",IF(AND(OR(S126="AUTORIZADO", S126="PENDIENTE", S126="REDUCIDO", S126="AMPLIADO"),L126&lt;&gt;"HONORARIO" ), CONCATENATE(IF(H126="X","H",H126),"_",IF(OR(P126=5,P126=6),_xlfn.CONCAT(P126,"A"),P126),"_",VLOOKUP(T126,Datos!$B$2:$C$5,2,TRUE)),""))</f>
        <v>H_1_[11 +]</v>
      </c>
      <c r="AD126" s="178">
        <f t="shared" si="54"/>
        <v>1034880</v>
      </c>
      <c r="AE126" s="82" t="str">
        <f t="shared" si="55"/>
        <v>-</v>
      </c>
      <c r="AF126" s="83" t="str">
        <f t="shared" si="56"/>
        <v>070601</v>
      </c>
      <c r="AG126" s="84"/>
      <c r="AH126" s="85" t="str">
        <f t="shared" si="57"/>
        <v>Corporación de Fomento de la Producción</v>
      </c>
      <c r="AI126" s="82" t="str">
        <f t="shared" si="58"/>
        <v>-</v>
      </c>
      <c r="AJ126" s="82">
        <f t="shared" si="59"/>
        <v>6</v>
      </c>
      <c r="AK126" s="82" t="str">
        <f t="shared" si="60"/>
        <v>-</v>
      </c>
      <c r="AL126" s="82" t="str">
        <f t="shared" si="61"/>
        <v>Identifica este registro como HOMBRE</v>
      </c>
      <c r="AM126" s="82" t="str">
        <f t="shared" si="62"/>
        <v>-</v>
      </c>
      <c r="AN126" s="82" t="str">
        <f t="shared" si="63"/>
        <v>-</v>
      </c>
      <c r="AO126" s="82" t="str">
        <f t="shared" si="64"/>
        <v>-</v>
      </c>
      <c r="AP126" s="57" t="str">
        <f t="shared" si="65"/>
        <v>-</v>
      </c>
      <c r="AQ126" s="86" t="str">
        <f t="shared" si="66"/>
        <v>-</v>
      </c>
      <c r="AR126" s="86" t="str">
        <f>IF(N126="","PRIMER_DIA en blanco",
IF(AND(M126="01",N126&gt;=L_Conversion!$C$118,N126&lt;=L_Conversion!$D$118),"-",
IF(AND(M126="02",N126&gt;=L_Conversion!$C$119,N126&lt;=L_Conversion!$D$119),"-",
IF(AND(M126="03",N126&gt;=L_Conversion!$C$120,N126&lt;=L_Conversion!$D$120),"-",
IF(AND(M126="04",N126&gt;=L_Conversion!$C$121,N126&lt;=L_Conversion!$D$121),"-",
IF(AND(M126="05",N126&gt;=L_Conversion!$C$122,N126&lt;=L_Conversion!$D$122),"-",
IF(AND(M126="06",N126&gt;=L_Conversion!$C$123,N126&lt;=L_Conversion!$D$123),"-",
IF(AND(M126="07",N126&gt;=L_Conversion!$C$124,N126&lt;=L_Conversion!$D$124),"-",
IF(AND(M126="08",N126&gt;=L_Conversion!$C$125,N126&lt;=L_Conversion!$D$125),"-",
IF(AND(M126="09",N126&gt;=L_Conversion!$C$126,N126&lt;=L_Conversion!$D$126),"-",
IF(AND(M126="10",N126&gt;=L_Conversion!$C$127,N126&lt;=L_Conversion!$D$127),"-",
IF(AND(M126="11",N126&gt;=L_Conversion!$C$128,N126&lt;=L_Conversion!$D$128),"-",
IF(AND(M126="12",N126&gt;=L_Conversion!$C$129,N126&lt;=L_Conversion!$D$129),"-",
IF(AND(M126="13",N126&gt;=L_Conversion!$C$116,N126&lt;=L_Conversion!$D$116),"-",
IF(AND(M126="14",N126&gt;=L_Conversion!$C$117,N126&lt;=L_Conversion!$D$117),"-",
"PRIMER_DIA fuera de rango")))))))))))))))</f>
        <v>-</v>
      </c>
      <c r="AS126" s="86" t="str">
        <f t="shared" si="67"/>
        <v>-</v>
      </c>
      <c r="AT126" s="86" t="str">
        <f t="shared" si="68"/>
        <v>-</v>
      </c>
      <c r="AU126" s="86" t="str">
        <f t="shared" si="69"/>
        <v>-</v>
      </c>
      <c r="AV126" s="86" t="str">
        <f t="shared" si="70"/>
        <v>-</v>
      </c>
      <c r="AW126" s="86" t="str">
        <f t="shared" si="71"/>
        <v>-</v>
      </c>
      <c r="AX126" s="86" t="str">
        <f t="shared" si="72"/>
        <v>-</v>
      </c>
      <c r="AY126" s="86" t="str">
        <f t="shared" si="73"/>
        <v>-</v>
      </c>
      <c r="AZ126" s="86" t="str">
        <f t="shared" si="74"/>
        <v>-</v>
      </c>
      <c r="BA126" s="86" t="str">
        <f t="shared" si="75"/>
        <v>-</v>
      </c>
      <c r="BB126" s="86" t="str">
        <f t="shared" si="76"/>
        <v>-</v>
      </c>
      <c r="BC126" s="86" t="str">
        <f t="shared" si="77"/>
        <v>-</v>
      </c>
      <c r="BD126" s="86" t="str">
        <f t="shared" si="78"/>
        <v>-</v>
      </c>
      <c r="BE126" s="86" t="str">
        <f t="shared" si="79"/>
        <v>-</v>
      </c>
      <c r="BF126" s="86" t="str">
        <f t="shared" si="80"/>
        <v>-</v>
      </c>
    </row>
    <row r="127" spans="1:58" x14ac:dyDescent="0.2">
      <c r="A127" s="80" t="s">
        <v>1144</v>
      </c>
      <c r="B127" s="92" t="s">
        <v>76</v>
      </c>
      <c r="C127" s="202">
        <v>18912622</v>
      </c>
      <c r="D127" s="203">
        <v>0</v>
      </c>
      <c r="E127" s="204" t="s">
        <v>1423</v>
      </c>
      <c r="F127" s="204" t="s">
        <v>1424</v>
      </c>
      <c r="G127" s="204" t="s">
        <v>1425</v>
      </c>
      <c r="H127" s="205" t="s">
        <v>1033</v>
      </c>
      <c r="I127" s="205" t="s">
        <v>662</v>
      </c>
      <c r="J127" s="203">
        <v>80</v>
      </c>
      <c r="K127" s="204" t="s">
        <v>563</v>
      </c>
      <c r="L127" s="206" t="s">
        <v>502</v>
      </c>
      <c r="M127" s="210" t="s">
        <v>18</v>
      </c>
      <c r="N127" s="211">
        <v>45688</v>
      </c>
      <c r="O127" s="207">
        <v>15</v>
      </c>
      <c r="P127" s="203">
        <v>1</v>
      </c>
      <c r="Q127" s="205" t="s">
        <v>23</v>
      </c>
      <c r="R127" s="205" t="s">
        <v>11</v>
      </c>
      <c r="S127" s="205" t="s">
        <v>23</v>
      </c>
      <c r="T127" s="207">
        <v>15</v>
      </c>
      <c r="U127" s="208" t="s">
        <v>11</v>
      </c>
      <c r="V127" s="212" t="s">
        <v>11</v>
      </c>
      <c r="W127" s="212" t="s">
        <v>19</v>
      </c>
      <c r="X127" s="209">
        <v>1288819</v>
      </c>
      <c r="Y127" s="213" t="s">
        <v>735</v>
      </c>
      <c r="Z127" s="209">
        <v>15</v>
      </c>
      <c r="AA127" s="209">
        <v>1288819</v>
      </c>
      <c r="AB127" s="209">
        <v>1288819</v>
      </c>
      <c r="AC127" s="178" t="str">
        <f>IF(OR(M127="13",M127="14",P127=8),"",IF(AND(OR(S127="AUTORIZADO", S127="PENDIENTE", S127="REDUCIDO", S127="AMPLIADO"),L127&lt;&gt;"HONORARIO" ), CONCATENATE(IF(H127="X","H",H127),"_",IF(OR(P127=5,P127=6),_xlfn.CONCAT(P127,"A"),P127),"_",VLOOKUP(T127,Datos!$B$2:$C$5,2,TRUE)),""))</f>
        <v>M_1_[11 +]</v>
      </c>
      <c r="AD127" s="178">
        <f t="shared" si="54"/>
        <v>2577638</v>
      </c>
      <c r="AE127" s="82" t="str">
        <f t="shared" si="55"/>
        <v>-</v>
      </c>
      <c r="AF127" s="83" t="str">
        <f t="shared" si="56"/>
        <v>070601</v>
      </c>
      <c r="AG127" s="84"/>
      <c r="AH127" s="85" t="str">
        <f t="shared" si="57"/>
        <v>Corporación de Fomento de la Producción</v>
      </c>
      <c r="AI127" s="82" t="str">
        <f t="shared" si="58"/>
        <v>-</v>
      </c>
      <c r="AJ127" s="82">
        <f t="shared" si="59"/>
        <v>0</v>
      </c>
      <c r="AK127" s="82" t="str">
        <f t="shared" si="60"/>
        <v>-</v>
      </c>
      <c r="AL127" s="82" t="str">
        <f t="shared" si="61"/>
        <v>Identifica este registro como MUJER</v>
      </c>
      <c r="AM127" s="82" t="str">
        <f t="shared" si="62"/>
        <v>-</v>
      </c>
      <c r="AN127" s="82" t="str">
        <f t="shared" si="63"/>
        <v>-</v>
      </c>
      <c r="AO127" s="82" t="str">
        <f t="shared" si="64"/>
        <v>-</v>
      </c>
      <c r="AP127" s="57" t="str">
        <f t="shared" si="65"/>
        <v>-</v>
      </c>
      <c r="AQ127" s="86" t="str">
        <f t="shared" si="66"/>
        <v>-</v>
      </c>
      <c r="AR127" s="86" t="str">
        <f>IF(N127="","PRIMER_DIA en blanco",
IF(AND(M127="01",N127&gt;=L_Conversion!$C$118,N127&lt;=L_Conversion!$D$118),"-",
IF(AND(M127="02",N127&gt;=L_Conversion!$C$119,N127&lt;=L_Conversion!$D$119),"-",
IF(AND(M127="03",N127&gt;=L_Conversion!$C$120,N127&lt;=L_Conversion!$D$120),"-",
IF(AND(M127="04",N127&gt;=L_Conversion!$C$121,N127&lt;=L_Conversion!$D$121),"-",
IF(AND(M127="05",N127&gt;=L_Conversion!$C$122,N127&lt;=L_Conversion!$D$122),"-",
IF(AND(M127="06",N127&gt;=L_Conversion!$C$123,N127&lt;=L_Conversion!$D$123),"-",
IF(AND(M127="07",N127&gt;=L_Conversion!$C$124,N127&lt;=L_Conversion!$D$124),"-",
IF(AND(M127="08",N127&gt;=L_Conversion!$C$125,N127&lt;=L_Conversion!$D$125),"-",
IF(AND(M127="09",N127&gt;=L_Conversion!$C$126,N127&lt;=L_Conversion!$D$126),"-",
IF(AND(M127="10",N127&gt;=L_Conversion!$C$127,N127&lt;=L_Conversion!$D$127),"-",
IF(AND(M127="11",N127&gt;=L_Conversion!$C$128,N127&lt;=L_Conversion!$D$128),"-",
IF(AND(M127="12",N127&gt;=L_Conversion!$C$129,N127&lt;=L_Conversion!$D$129),"-",
IF(AND(M127="13",N127&gt;=L_Conversion!$C$116,N127&lt;=L_Conversion!$D$116),"-",
IF(AND(M127="14",N127&gt;=L_Conversion!$C$117,N127&lt;=L_Conversion!$D$117),"-",
"PRIMER_DIA fuera de rango")))))))))))))))</f>
        <v>-</v>
      </c>
      <c r="AS127" s="86" t="str">
        <f t="shared" si="67"/>
        <v>-</v>
      </c>
      <c r="AT127" s="86" t="str">
        <f t="shared" si="68"/>
        <v>-</v>
      </c>
      <c r="AU127" s="86" t="str">
        <f t="shared" si="69"/>
        <v>-</v>
      </c>
      <c r="AV127" s="86" t="str">
        <f t="shared" si="70"/>
        <v>-</v>
      </c>
      <c r="AW127" s="86" t="str">
        <f t="shared" si="71"/>
        <v>-</v>
      </c>
      <c r="AX127" s="86" t="str">
        <f t="shared" si="72"/>
        <v>-</v>
      </c>
      <c r="AY127" s="86" t="str">
        <f t="shared" si="73"/>
        <v>-</v>
      </c>
      <c r="AZ127" s="86" t="str">
        <f t="shared" si="74"/>
        <v>-</v>
      </c>
      <c r="BA127" s="86" t="str">
        <f t="shared" si="75"/>
        <v>-</v>
      </c>
      <c r="BB127" s="86" t="str">
        <f t="shared" si="76"/>
        <v>-</v>
      </c>
      <c r="BC127" s="86" t="str">
        <f t="shared" si="77"/>
        <v>-</v>
      </c>
      <c r="BD127" s="86" t="str">
        <f t="shared" si="78"/>
        <v>-</v>
      </c>
      <c r="BE127" s="86" t="str">
        <f t="shared" si="79"/>
        <v>-</v>
      </c>
      <c r="BF127" s="86" t="str">
        <f t="shared" si="80"/>
        <v>-</v>
      </c>
    </row>
    <row r="128" spans="1:58" x14ac:dyDescent="0.2">
      <c r="A128" s="80" t="s">
        <v>1144</v>
      </c>
      <c r="B128" s="92" t="s">
        <v>76</v>
      </c>
      <c r="C128" s="202">
        <v>18936448</v>
      </c>
      <c r="D128" s="203">
        <v>2</v>
      </c>
      <c r="E128" s="204" t="s">
        <v>1426</v>
      </c>
      <c r="F128" s="204" t="s">
        <v>1427</v>
      </c>
      <c r="G128" s="204" t="s">
        <v>1428</v>
      </c>
      <c r="H128" s="205" t="s">
        <v>1033</v>
      </c>
      <c r="I128" s="205" t="s">
        <v>662</v>
      </c>
      <c r="J128" s="203">
        <v>80</v>
      </c>
      <c r="K128" s="204" t="s">
        <v>563</v>
      </c>
      <c r="L128" s="206" t="s">
        <v>502</v>
      </c>
      <c r="M128" s="210" t="s">
        <v>18</v>
      </c>
      <c r="N128" s="211">
        <v>45688</v>
      </c>
      <c r="O128" s="207">
        <v>1</v>
      </c>
      <c r="P128" s="203">
        <v>1</v>
      </c>
      <c r="Q128" s="205" t="s">
        <v>23</v>
      </c>
      <c r="R128" s="205" t="s">
        <v>11</v>
      </c>
      <c r="S128" s="205" t="s">
        <v>23</v>
      </c>
      <c r="T128" s="207">
        <v>1</v>
      </c>
      <c r="U128" s="208" t="s">
        <v>11</v>
      </c>
      <c r="V128" s="212" t="s">
        <v>19</v>
      </c>
      <c r="W128" s="212" t="s">
        <v>19</v>
      </c>
      <c r="X128" s="209">
        <v>9220</v>
      </c>
      <c r="Y128" s="213" t="s">
        <v>735</v>
      </c>
      <c r="Z128" s="209">
        <v>1</v>
      </c>
      <c r="AA128" s="209">
        <v>9220</v>
      </c>
      <c r="AB128" s="209">
        <v>9220</v>
      </c>
      <c r="AC128" s="178" t="str">
        <f>IF(OR(M128="13",M128="14",P128=8),"",IF(AND(OR(S128="AUTORIZADO", S128="PENDIENTE", S128="REDUCIDO", S128="AMPLIADO"),L128&lt;&gt;"HONORARIO" ), CONCATENATE(IF(H128="X","H",H128),"_",IF(OR(P128=5,P128=6),_xlfn.CONCAT(P128,"A"),P128),"_",VLOOKUP(T128,Datos!$B$2:$C$5,2,TRUE)),""))</f>
        <v>M_1_[hasta 3]</v>
      </c>
      <c r="AD128" s="178">
        <f t="shared" si="54"/>
        <v>18440</v>
      </c>
      <c r="AE128" s="82" t="str">
        <f t="shared" si="55"/>
        <v>-</v>
      </c>
      <c r="AF128" s="83" t="str">
        <f t="shared" si="56"/>
        <v>070601</v>
      </c>
      <c r="AG128" s="84"/>
      <c r="AH128" s="85" t="str">
        <f t="shared" si="57"/>
        <v>Corporación de Fomento de la Producción</v>
      </c>
      <c r="AI128" s="82" t="str">
        <f t="shared" si="58"/>
        <v>-</v>
      </c>
      <c r="AJ128" s="82">
        <f t="shared" si="59"/>
        <v>2</v>
      </c>
      <c r="AK128" s="82" t="str">
        <f t="shared" si="60"/>
        <v>-</v>
      </c>
      <c r="AL128" s="82" t="str">
        <f t="shared" si="61"/>
        <v>Identifica este registro como MUJER</v>
      </c>
      <c r="AM128" s="82" t="str">
        <f t="shared" si="62"/>
        <v>-</v>
      </c>
      <c r="AN128" s="82" t="str">
        <f t="shared" si="63"/>
        <v>-</v>
      </c>
      <c r="AO128" s="82" t="str">
        <f t="shared" si="64"/>
        <v>-</v>
      </c>
      <c r="AP128" s="57" t="str">
        <f t="shared" si="65"/>
        <v>-</v>
      </c>
      <c r="AQ128" s="86" t="str">
        <f t="shared" si="66"/>
        <v>-</v>
      </c>
      <c r="AR128" s="86" t="str">
        <f>IF(N128="","PRIMER_DIA en blanco",
IF(AND(M128="01",N128&gt;=L_Conversion!$C$118,N128&lt;=L_Conversion!$D$118),"-",
IF(AND(M128="02",N128&gt;=L_Conversion!$C$119,N128&lt;=L_Conversion!$D$119),"-",
IF(AND(M128="03",N128&gt;=L_Conversion!$C$120,N128&lt;=L_Conversion!$D$120),"-",
IF(AND(M128="04",N128&gt;=L_Conversion!$C$121,N128&lt;=L_Conversion!$D$121),"-",
IF(AND(M128="05",N128&gt;=L_Conversion!$C$122,N128&lt;=L_Conversion!$D$122),"-",
IF(AND(M128="06",N128&gt;=L_Conversion!$C$123,N128&lt;=L_Conversion!$D$123),"-",
IF(AND(M128="07",N128&gt;=L_Conversion!$C$124,N128&lt;=L_Conversion!$D$124),"-",
IF(AND(M128="08",N128&gt;=L_Conversion!$C$125,N128&lt;=L_Conversion!$D$125),"-",
IF(AND(M128="09",N128&gt;=L_Conversion!$C$126,N128&lt;=L_Conversion!$D$126),"-",
IF(AND(M128="10",N128&gt;=L_Conversion!$C$127,N128&lt;=L_Conversion!$D$127),"-",
IF(AND(M128="11",N128&gt;=L_Conversion!$C$128,N128&lt;=L_Conversion!$D$128),"-",
IF(AND(M128="12",N128&gt;=L_Conversion!$C$129,N128&lt;=L_Conversion!$D$129),"-",
IF(AND(M128="13",N128&gt;=L_Conversion!$C$116,N128&lt;=L_Conversion!$D$116),"-",
IF(AND(M128="14",N128&gt;=L_Conversion!$C$117,N128&lt;=L_Conversion!$D$117),"-",
"PRIMER_DIA fuera de rango")))))))))))))))</f>
        <v>-</v>
      </c>
      <c r="AS128" s="86" t="str">
        <f t="shared" si="67"/>
        <v>-</v>
      </c>
      <c r="AT128" s="86" t="str">
        <f t="shared" si="68"/>
        <v>-</v>
      </c>
      <c r="AU128" s="86" t="str">
        <f t="shared" si="69"/>
        <v>-</v>
      </c>
      <c r="AV128" s="86" t="str">
        <f t="shared" si="70"/>
        <v>-</v>
      </c>
      <c r="AW128" s="86" t="str">
        <f t="shared" si="71"/>
        <v>-</v>
      </c>
      <c r="AX128" s="86" t="str">
        <f t="shared" si="72"/>
        <v>-</v>
      </c>
      <c r="AY128" s="86" t="str">
        <f t="shared" si="73"/>
        <v>-</v>
      </c>
      <c r="AZ128" s="86" t="str">
        <f t="shared" si="74"/>
        <v>-</v>
      </c>
      <c r="BA128" s="86" t="str">
        <f t="shared" si="75"/>
        <v>-</v>
      </c>
      <c r="BB128" s="86" t="str">
        <f t="shared" si="76"/>
        <v>-</v>
      </c>
      <c r="BC128" s="86" t="str">
        <f t="shared" si="77"/>
        <v>-</v>
      </c>
      <c r="BD128" s="86" t="str">
        <f t="shared" si="78"/>
        <v>-</v>
      </c>
      <c r="BE128" s="86" t="str">
        <f t="shared" si="79"/>
        <v>-</v>
      </c>
      <c r="BF128" s="86" t="str">
        <f t="shared" si="80"/>
        <v>-</v>
      </c>
    </row>
    <row r="129" spans="1:58" x14ac:dyDescent="0.2">
      <c r="A129" s="80" t="s">
        <v>1144</v>
      </c>
      <c r="B129" s="92" t="s">
        <v>678</v>
      </c>
      <c r="C129" s="202">
        <v>9351262</v>
      </c>
      <c r="D129" s="203">
        <v>6</v>
      </c>
      <c r="E129" s="204" t="s">
        <v>1162</v>
      </c>
      <c r="F129" s="204" t="s">
        <v>1395</v>
      </c>
      <c r="G129" s="204" t="s">
        <v>1396</v>
      </c>
      <c r="H129" s="205" t="s">
        <v>1033</v>
      </c>
      <c r="I129" s="205" t="s">
        <v>663</v>
      </c>
      <c r="J129" s="203">
        <v>80</v>
      </c>
      <c r="K129" s="204" t="s">
        <v>563</v>
      </c>
      <c r="L129" s="206" t="s">
        <v>516</v>
      </c>
      <c r="M129" s="210" t="s">
        <v>18</v>
      </c>
      <c r="N129" s="211">
        <v>45688</v>
      </c>
      <c r="O129" s="207">
        <v>1</v>
      </c>
      <c r="P129" s="203">
        <v>1</v>
      </c>
      <c r="Q129" s="205" t="s">
        <v>23</v>
      </c>
      <c r="R129" s="205" t="s">
        <v>11</v>
      </c>
      <c r="S129" s="205" t="s">
        <v>23</v>
      </c>
      <c r="T129" s="207">
        <v>1</v>
      </c>
      <c r="U129" s="208" t="s">
        <v>11</v>
      </c>
      <c r="V129" s="212" t="s">
        <v>19</v>
      </c>
      <c r="W129" s="212" t="s">
        <v>19</v>
      </c>
      <c r="X129" s="209">
        <v>19723</v>
      </c>
      <c r="Y129" s="213" t="s">
        <v>735</v>
      </c>
      <c r="Z129" s="209">
        <v>1</v>
      </c>
      <c r="AA129" s="209">
        <v>19723</v>
      </c>
      <c r="AB129" s="209">
        <v>19723</v>
      </c>
      <c r="AC129" s="178" t="str">
        <f>IF(OR(M129="13",M129="14",P129=8),"",IF(AND(OR(S129="AUTORIZADO", S129="PENDIENTE", S129="REDUCIDO", S129="AMPLIADO"),L129&lt;&gt;"HONORARIO" ), CONCATENATE(IF(H129="X","H",H129),"_",IF(OR(P129=5,P129=6),_xlfn.CONCAT(P129,"A"),P129),"_",VLOOKUP(T129,Datos!$B$2:$C$5,2,TRUE)),""))</f>
        <v>M_1_[hasta 3]</v>
      </c>
      <c r="AD129" s="178">
        <f t="shared" si="54"/>
        <v>39446</v>
      </c>
      <c r="AE129" s="82" t="str">
        <f t="shared" si="55"/>
        <v>-</v>
      </c>
      <c r="AF129" s="83" t="str">
        <f t="shared" si="56"/>
        <v>Revisar</v>
      </c>
      <c r="AG129" s="84"/>
      <c r="AH129" s="85" t="str">
        <f t="shared" si="57"/>
        <v>Corporación de Fomento de la Producción</v>
      </c>
      <c r="AI129" s="82" t="str">
        <f t="shared" si="58"/>
        <v>-</v>
      </c>
      <c r="AJ129" s="82">
        <f t="shared" si="59"/>
        <v>6</v>
      </c>
      <c r="AK129" s="82" t="str">
        <f t="shared" si="60"/>
        <v>-</v>
      </c>
      <c r="AL129" s="82" t="str">
        <f t="shared" si="61"/>
        <v>Identifica este registro como MUJER</v>
      </c>
      <c r="AM129" s="82" t="str">
        <f t="shared" si="62"/>
        <v>-</v>
      </c>
      <c r="AN129" s="82" t="str">
        <f t="shared" si="63"/>
        <v>-</v>
      </c>
      <c r="AO129" s="82" t="str">
        <f t="shared" si="64"/>
        <v>-</v>
      </c>
      <c r="AP129" s="57" t="str">
        <f t="shared" si="65"/>
        <v>-</v>
      </c>
      <c r="AQ129" s="86" t="str">
        <f t="shared" si="66"/>
        <v>-</v>
      </c>
      <c r="AR129" s="86" t="str">
        <f>IF(N129="","PRIMER_DIA en blanco",
IF(AND(M129="01",N129&gt;=L_Conversion!$C$118,N129&lt;=L_Conversion!$D$118),"-",
IF(AND(M129="02",N129&gt;=L_Conversion!$C$119,N129&lt;=L_Conversion!$D$119),"-",
IF(AND(M129="03",N129&gt;=L_Conversion!$C$120,N129&lt;=L_Conversion!$D$120),"-",
IF(AND(M129="04",N129&gt;=L_Conversion!$C$121,N129&lt;=L_Conversion!$D$121),"-",
IF(AND(M129="05",N129&gt;=L_Conversion!$C$122,N129&lt;=L_Conversion!$D$122),"-",
IF(AND(M129="06",N129&gt;=L_Conversion!$C$123,N129&lt;=L_Conversion!$D$123),"-",
IF(AND(M129="07",N129&gt;=L_Conversion!$C$124,N129&lt;=L_Conversion!$D$124),"-",
IF(AND(M129="08",N129&gt;=L_Conversion!$C$125,N129&lt;=L_Conversion!$D$125),"-",
IF(AND(M129="09",N129&gt;=L_Conversion!$C$126,N129&lt;=L_Conversion!$D$126),"-",
IF(AND(M129="10",N129&gt;=L_Conversion!$C$127,N129&lt;=L_Conversion!$D$127),"-",
IF(AND(M129="11",N129&gt;=L_Conversion!$C$128,N129&lt;=L_Conversion!$D$128),"-",
IF(AND(M129="12",N129&gt;=L_Conversion!$C$129,N129&lt;=L_Conversion!$D$129),"-",
IF(AND(M129="13",N129&gt;=L_Conversion!$C$116,N129&lt;=L_Conversion!$D$116),"-",
IF(AND(M129="14",N129&gt;=L_Conversion!$C$117,N129&lt;=L_Conversion!$D$117),"-",
"PRIMER_DIA fuera de rango")))))))))))))))</f>
        <v>-</v>
      </c>
      <c r="AS129" s="86" t="str">
        <f t="shared" si="67"/>
        <v>-</v>
      </c>
      <c r="AT129" s="86" t="str">
        <f t="shared" si="68"/>
        <v>-</v>
      </c>
      <c r="AU129" s="86" t="str">
        <f t="shared" si="69"/>
        <v>-</v>
      </c>
      <c r="AV129" s="86" t="str">
        <f t="shared" si="70"/>
        <v>-</v>
      </c>
      <c r="AW129" s="86" t="str">
        <f t="shared" si="71"/>
        <v>-</v>
      </c>
      <c r="AX129" s="86" t="str">
        <f t="shared" si="72"/>
        <v>-</v>
      </c>
      <c r="AY129" s="86" t="str">
        <f t="shared" si="73"/>
        <v>-</v>
      </c>
      <c r="AZ129" s="86" t="str">
        <f t="shared" si="74"/>
        <v>-</v>
      </c>
      <c r="BA129" s="86" t="str">
        <f t="shared" si="75"/>
        <v>-</v>
      </c>
      <c r="BB129" s="86" t="str">
        <f t="shared" si="76"/>
        <v>-</v>
      </c>
      <c r="BC129" s="86" t="str">
        <f t="shared" si="77"/>
        <v>-</v>
      </c>
      <c r="BD129" s="86" t="str">
        <f t="shared" si="78"/>
        <v>-</v>
      </c>
      <c r="BE129" s="86" t="str">
        <f t="shared" si="79"/>
        <v>-</v>
      </c>
      <c r="BF129" s="86" t="str">
        <f t="shared" si="80"/>
        <v>-</v>
      </c>
    </row>
    <row r="130" spans="1:58" x14ac:dyDescent="0.2">
      <c r="A130" s="80" t="s">
        <v>1144</v>
      </c>
      <c r="B130" s="92" t="s">
        <v>76</v>
      </c>
      <c r="C130" s="202">
        <v>17287311</v>
      </c>
      <c r="D130" s="203">
        <v>1</v>
      </c>
      <c r="E130" s="204" t="s">
        <v>1279</v>
      </c>
      <c r="F130" s="204" t="s">
        <v>1420</v>
      </c>
      <c r="G130" s="204" t="s">
        <v>1421</v>
      </c>
      <c r="H130" s="205" t="s">
        <v>1033</v>
      </c>
      <c r="I130" s="205" t="s">
        <v>662</v>
      </c>
      <c r="J130" s="203">
        <v>80</v>
      </c>
      <c r="K130" s="204" t="s">
        <v>563</v>
      </c>
      <c r="L130" s="206" t="s">
        <v>502</v>
      </c>
      <c r="M130" s="210" t="s">
        <v>18</v>
      </c>
      <c r="N130" s="211">
        <v>45688</v>
      </c>
      <c r="O130" s="207">
        <v>1</v>
      </c>
      <c r="P130" s="203">
        <v>1</v>
      </c>
      <c r="Q130" s="205" t="s">
        <v>23</v>
      </c>
      <c r="R130" s="205" t="s">
        <v>11</v>
      </c>
      <c r="S130" s="205" t="s">
        <v>23</v>
      </c>
      <c r="T130" s="207">
        <v>1</v>
      </c>
      <c r="U130" s="208" t="s">
        <v>11</v>
      </c>
      <c r="V130" s="212" t="s">
        <v>19</v>
      </c>
      <c r="W130" s="212" t="s">
        <v>19</v>
      </c>
      <c r="X130" s="209">
        <v>12860</v>
      </c>
      <c r="Y130" s="213" t="s">
        <v>735</v>
      </c>
      <c r="Z130" s="209">
        <v>1</v>
      </c>
      <c r="AA130" s="209">
        <v>12860</v>
      </c>
      <c r="AB130" s="209">
        <v>12860</v>
      </c>
      <c r="AC130" s="178" t="str">
        <f>IF(OR(M130="13",M130="14",P130=8),"",IF(AND(OR(S130="AUTORIZADO", S130="PENDIENTE", S130="REDUCIDO", S130="AMPLIADO"),L130&lt;&gt;"HONORARIO" ), CONCATENATE(IF(H130="X","H",H130),"_",IF(OR(P130=5,P130=6),_xlfn.CONCAT(P130,"A"),P130),"_",VLOOKUP(T130,Datos!$B$2:$C$5,2,TRUE)),""))</f>
        <v>M_1_[hasta 3]</v>
      </c>
      <c r="AD130" s="178">
        <f t="shared" si="54"/>
        <v>25720</v>
      </c>
      <c r="AE130" s="82" t="str">
        <f t="shared" si="55"/>
        <v>-</v>
      </c>
      <c r="AF130" s="83" t="str">
        <f t="shared" si="56"/>
        <v>070601</v>
      </c>
      <c r="AG130" s="84"/>
      <c r="AH130" s="85" t="str">
        <f t="shared" si="57"/>
        <v>Corporación de Fomento de la Producción</v>
      </c>
      <c r="AI130" s="82" t="str">
        <f t="shared" si="58"/>
        <v>-</v>
      </c>
      <c r="AJ130" s="82">
        <f t="shared" si="59"/>
        <v>1</v>
      </c>
      <c r="AK130" s="82" t="str">
        <f t="shared" si="60"/>
        <v>-</v>
      </c>
      <c r="AL130" s="82" t="str">
        <f t="shared" si="61"/>
        <v>Identifica este registro como MUJER</v>
      </c>
      <c r="AM130" s="82" t="str">
        <f t="shared" si="62"/>
        <v>-</v>
      </c>
      <c r="AN130" s="82" t="str">
        <f t="shared" si="63"/>
        <v>-</v>
      </c>
      <c r="AO130" s="82" t="str">
        <f t="shared" si="64"/>
        <v>-</v>
      </c>
      <c r="AP130" s="57" t="str">
        <f t="shared" si="65"/>
        <v>-</v>
      </c>
      <c r="AQ130" s="86" t="str">
        <f t="shared" si="66"/>
        <v>-</v>
      </c>
      <c r="AR130" s="86" t="str">
        <f>IF(N130="","PRIMER_DIA en blanco",
IF(AND(M130="01",N130&gt;=L_Conversion!$C$118,N130&lt;=L_Conversion!$D$118),"-",
IF(AND(M130="02",N130&gt;=L_Conversion!$C$119,N130&lt;=L_Conversion!$D$119),"-",
IF(AND(M130="03",N130&gt;=L_Conversion!$C$120,N130&lt;=L_Conversion!$D$120),"-",
IF(AND(M130="04",N130&gt;=L_Conversion!$C$121,N130&lt;=L_Conversion!$D$121),"-",
IF(AND(M130="05",N130&gt;=L_Conversion!$C$122,N130&lt;=L_Conversion!$D$122),"-",
IF(AND(M130="06",N130&gt;=L_Conversion!$C$123,N130&lt;=L_Conversion!$D$123),"-",
IF(AND(M130="07",N130&gt;=L_Conversion!$C$124,N130&lt;=L_Conversion!$D$124),"-",
IF(AND(M130="08",N130&gt;=L_Conversion!$C$125,N130&lt;=L_Conversion!$D$125),"-",
IF(AND(M130="09",N130&gt;=L_Conversion!$C$126,N130&lt;=L_Conversion!$D$126),"-",
IF(AND(M130="10",N130&gt;=L_Conversion!$C$127,N130&lt;=L_Conversion!$D$127),"-",
IF(AND(M130="11",N130&gt;=L_Conversion!$C$128,N130&lt;=L_Conversion!$D$128),"-",
IF(AND(M130="12",N130&gt;=L_Conversion!$C$129,N130&lt;=L_Conversion!$D$129),"-",
IF(AND(M130="13",N130&gt;=L_Conversion!$C$116,N130&lt;=L_Conversion!$D$116),"-",
IF(AND(M130="14",N130&gt;=L_Conversion!$C$117,N130&lt;=L_Conversion!$D$117),"-",
"PRIMER_DIA fuera de rango")))))))))))))))</f>
        <v>-</v>
      </c>
      <c r="AS130" s="86" t="str">
        <f t="shared" si="67"/>
        <v>-</v>
      </c>
      <c r="AT130" s="86" t="str">
        <f t="shared" si="68"/>
        <v>-</v>
      </c>
      <c r="AU130" s="86" t="str">
        <f t="shared" si="69"/>
        <v>-</v>
      </c>
      <c r="AV130" s="86" t="str">
        <f t="shared" si="70"/>
        <v>-</v>
      </c>
      <c r="AW130" s="86" t="str">
        <f t="shared" si="71"/>
        <v>-</v>
      </c>
      <c r="AX130" s="86" t="str">
        <f t="shared" si="72"/>
        <v>-</v>
      </c>
      <c r="AY130" s="86" t="str">
        <f t="shared" si="73"/>
        <v>-</v>
      </c>
      <c r="AZ130" s="86" t="str">
        <f t="shared" si="74"/>
        <v>-</v>
      </c>
      <c r="BA130" s="86" t="str">
        <f t="shared" si="75"/>
        <v>-</v>
      </c>
      <c r="BB130" s="86" t="str">
        <f t="shared" si="76"/>
        <v>-</v>
      </c>
      <c r="BC130" s="86" t="str">
        <f t="shared" si="77"/>
        <v>-</v>
      </c>
      <c r="BD130" s="86" t="str">
        <f t="shared" si="78"/>
        <v>-</v>
      </c>
      <c r="BE130" s="86" t="str">
        <f t="shared" si="79"/>
        <v>-</v>
      </c>
      <c r="BF130" s="86" t="str">
        <f t="shared" si="80"/>
        <v>-</v>
      </c>
    </row>
    <row r="131" spans="1:58" x14ac:dyDescent="0.2">
      <c r="A131" s="80" t="s">
        <v>1144</v>
      </c>
      <c r="B131" s="92" t="s">
        <v>76</v>
      </c>
      <c r="C131" s="202">
        <v>14423771</v>
      </c>
      <c r="D131" s="203">
        <v>4</v>
      </c>
      <c r="E131" s="204" t="s">
        <v>1226</v>
      </c>
      <c r="F131" s="204" t="s">
        <v>1227</v>
      </c>
      <c r="G131" s="204" t="s">
        <v>1228</v>
      </c>
      <c r="H131" s="205" t="s">
        <v>663</v>
      </c>
      <c r="I131" s="205" t="s">
        <v>662</v>
      </c>
      <c r="J131" s="203">
        <v>80</v>
      </c>
      <c r="K131" s="204" t="s">
        <v>563</v>
      </c>
      <c r="L131" s="206" t="s">
        <v>502</v>
      </c>
      <c r="M131" s="210" t="s">
        <v>21</v>
      </c>
      <c r="N131" s="211">
        <v>45689</v>
      </c>
      <c r="O131" s="207">
        <v>7</v>
      </c>
      <c r="P131" s="203">
        <v>1</v>
      </c>
      <c r="Q131" s="205" t="s">
        <v>23</v>
      </c>
      <c r="R131" s="205" t="s">
        <v>11</v>
      </c>
      <c r="S131" s="205" t="s">
        <v>23</v>
      </c>
      <c r="T131" s="207">
        <v>7</v>
      </c>
      <c r="U131" s="208" t="s">
        <v>11</v>
      </c>
      <c r="V131" s="212" t="s">
        <v>11</v>
      </c>
      <c r="W131" s="212" t="s">
        <v>19</v>
      </c>
      <c r="X131" s="209">
        <v>239178</v>
      </c>
      <c r="Y131" s="213" t="s">
        <v>735</v>
      </c>
      <c r="Z131" s="209">
        <v>7</v>
      </c>
      <c r="AA131" s="209">
        <v>239178</v>
      </c>
      <c r="AB131" s="209">
        <v>239178</v>
      </c>
      <c r="AC131" s="178" t="str">
        <f>IF(OR(M131="13",M131="14",P131=8),"",IF(AND(OR(S131="AUTORIZADO", S131="PENDIENTE", S131="REDUCIDO", S131="AMPLIADO"),L131&lt;&gt;"HONORARIO" ), CONCATENATE(IF(H131="X","H",H131),"_",IF(OR(P131=5,P131=6),_xlfn.CONCAT(P131,"A"),P131),"_",VLOOKUP(T131,Datos!$B$2:$C$5,2,TRUE)),""))</f>
        <v>H_1_[4 a 10]</v>
      </c>
      <c r="AD131" s="178">
        <f t="shared" si="54"/>
        <v>478356</v>
      </c>
      <c r="AE131" s="82" t="str">
        <f t="shared" si="55"/>
        <v>-</v>
      </c>
      <c r="AF131" s="83" t="str">
        <f t="shared" si="56"/>
        <v>070601</v>
      </c>
      <c r="AG131" s="84"/>
      <c r="AH131" s="85" t="str">
        <f t="shared" si="57"/>
        <v>Corporación de Fomento de la Producción</v>
      </c>
      <c r="AI131" s="82" t="str">
        <f t="shared" si="58"/>
        <v>-</v>
      </c>
      <c r="AJ131" s="82">
        <f t="shared" si="59"/>
        <v>4</v>
      </c>
      <c r="AK131" s="82" t="str">
        <f t="shared" si="60"/>
        <v>-</v>
      </c>
      <c r="AL131" s="82" t="str">
        <f t="shared" si="61"/>
        <v>Identifica este registro como HOMBRE</v>
      </c>
      <c r="AM131" s="82" t="str">
        <f t="shared" si="62"/>
        <v>-</v>
      </c>
      <c r="AN131" s="82" t="str">
        <f t="shared" si="63"/>
        <v>-</v>
      </c>
      <c r="AO131" s="82" t="str">
        <f t="shared" si="64"/>
        <v>-</v>
      </c>
      <c r="AP131" s="57" t="str">
        <f t="shared" si="65"/>
        <v>-</v>
      </c>
      <c r="AQ131" s="86" t="str">
        <f t="shared" si="66"/>
        <v>-</v>
      </c>
      <c r="AR131" s="86" t="str">
        <f>IF(N131="","PRIMER_DIA en blanco",
IF(AND(M131="01",N131&gt;=L_Conversion!$C$118,N131&lt;=L_Conversion!$D$118),"-",
IF(AND(M131="02",N131&gt;=L_Conversion!$C$119,N131&lt;=L_Conversion!$D$119),"-",
IF(AND(M131="03",N131&gt;=L_Conversion!$C$120,N131&lt;=L_Conversion!$D$120),"-",
IF(AND(M131="04",N131&gt;=L_Conversion!$C$121,N131&lt;=L_Conversion!$D$121),"-",
IF(AND(M131="05",N131&gt;=L_Conversion!$C$122,N131&lt;=L_Conversion!$D$122),"-",
IF(AND(M131="06",N131&gt;=L_Conversion!$C$123,N131&lt;=L_Conversion!$D$123),"-",
IF(AND(M131="07",N131&gt;=L_Conversion!$C$124,N131&lt;=L_Conversion!$D$124),"-",
IF(AND(M131="08",N131&gt;=L_Conversion!$C$125,N131&lt;=L_Conversion!$D$125),"-",
IF(AND(M131="09",N131&gt;=L_Conversion!$C$126,N131&lt;=L_Conversion!$D$126),"-",
IF(AND(M131="10",N131&gt;=L_Conversion!$C$127,N131&lt;=L_Conversion!$D$127),"-",
IF(AND(M131="11",N131&gt;=L_Conversion!$C$128,N131&lt;=L_Conversion!$D$128),"-",
IF(AND(M131="12",N131&gt;=L_Conversion!$C$129,N131&lt;=L_Conversion!$D$129),"-",
IF(AND(M131="13",N131&gt;=L_Conversion!$C$116,N131&lt;=L_Conversion!$D$116),"-",
IF(AND(M131="14",N131&gt;=L_Conversion!$C$117,N131&lt;=L_Conversion!$D$117),"-",
"PRIMER_DIA fuera de rango")))))))))))))))</f>
        <v>-</v>
      </c>
      <c r="AS131" s="86" t="str">
        <f t="shared" si="67"/>
        <v>-</v>
      </c>
      <c r="AT131" s="86" t="str">
        <f t="shared" si="68"/>
        <v>-</v>
      </c>
      <c r="AU131" s="86" t="str">
        <f t="shared" si="69"/>
        <v>-</v>
      </c>
      <c r="AV131" s="86" t="str">
        <f t="shared" si="70"/>
        <v>-</v>
      </c>
      <c r="AW131" s="86" t="str">
        <f t="shared" si="71"/>
        <v>-</v>
      </c>
      <c r="AX131" s="86" t="str">
        <f t="shared" si="72"/>
        <v>-</v>
      </c>
      <c r="AY131" s="86" t="str">
        <f t="shared" si="73"/>
        <v>-</v>
      </c>
      <c r="AZ131" s="86" t="str">
        <f t="shared" si="74"/>
        <v>-</v>
      </c>
      <c r="BA131" s="86" t="str">
        <f t="shared" si="75"/>
        <v>-</v>
      </c>
      <c r="BB131" s="86" t="str">
        <f t="shared" si="76"/>
        <v>-</v>
      </c>
      <c r="BC131" s="86" t="str">
        <f t="shared" si="77"/>
        <v>-</v>
      </c>
      <c r="BD131" s="86" t="str">
        <f t="shared" si="78"/>
        <v>-</v>
      </c>
      <c r="BE131" s="86" t="str">
        <f t="shared" si="79"/>
        <v>-</v>
      </c>
      <c r="BF131" s="86" t="str">
        <f t="shared" si="80"/>
        <v>-</v>
      </c>
    </row>
    <row r="132" spans="1:58" x14ac:dyDescent="0.2">
      <c r="A132" s="80" t="s">
        <v>1144</v>
      </c>
      <c r="B132" s="92" t="s">
        <v>76</v>
      </c>
      <c r="C132" s="202">
        <v>6156471</v>
      </c>
      <c r="D132" s="203">
        <v>3</v>
      </c>
      <c r="E132" s="204" t="s">
        <v>1314</v>
      </c>
      <c r="F132" s="204" t="s">
        <v>1315</v>
      </c>
      <c r="G132" s="204" t="s">
        <v>1316</v>
      </c>
      <c r="H132" s="205" t="s">
        <v>663</v>
      </c>
      <c r="I132" s="205" t="s">
        <v>662</v>
      </c>
      <c r="J132" s="203">
        <v>60</v>
      </c>
      <c r="K132" s="204" t="s">
        <v>563</v>
      </c>
      <c r="L132" s="206" t="s">
        <v>497</v>
      </c>
      <c r="M132" s="210" t="s">
        <v>21</v>
      </c>
      <c r="N132" s="211">
        <v>45689</v>
      </c>
      <c r="O132" s="207">
        <v>15</v>
      </c>
      <c r="P132" s="203">
        <v>1</v>
      </c>
      <c r="Q132" s="205" t="s">
        <v>23</v>
      </c>
      <c r="R132" s="205" t="s">
        <v>11</v>
      </c>
      <c r="S132" s="205" t="s">
        <v>23</v>
      </c>
      <c r="T132" s="207">
        <v>15</v>
      </c>
      <c r="U132" s="208" t="s">
        <v>11</v>
      </c>
      <c r="V132" s="212" t="s">
        <v>11</v>
      </c>
      <c r="W132" s="212" t="s">
        <v>19</v>
      </c>
      <c r="X132" s="209">
        <v>1562569</v>
      </c>
      <c r="Y132" s="213" t="s">
        <v>735</v>
      </c>
      <c r="Z132" s="209">
        <v>15</v>
      </c>
      <c r="AA132" s="209">
        <v>1562569</v>
      </c>
      <c r="AB132" s="209">
        <v>1562569</v>
      </c>
      <c r="AC132" s="178" t="str">
        <f>IF(OR(M132="13",M132="14",P132=8),"",IF(AND(OR(S132="AUTORIZADO", S132="PENDIENTE", S132="REDUCIDO", S132="AMPLIADO"),L132&lt;&gt;"HONORARIO" ), CONCATENATE(IF(H132="X","H",H132),"_",IF(OR(P132=5,P132=6),_xlfn.CONCAT(P132,"A"),P132),"_",VLOOKUP(T132,Datos!$B$2:$C$5,2,TRUE)),""))</f>
        <v>H_1_[11 +]</v>
      </c>
      <c r="AD132" s="178">
        <f t="shared" si="54"/>
        <v>3125138</v>
      </c>
      <c r="AE132" s="82" t="str">
        <f t="shared" si="55"/>
        <v>-</v>
      </c>
      <c r="AF132" s="83" t="str">
        <f t="shared" si="56"/>
        <v>070601</v>
      </c>
      <c r="AG132" s="84"/>
      <c r="AH132" s="85" t="str">
        <f t="shared" si="57"/>
        <v>Corporación de Fomento de la Producción</v>
      </c>
      <c r="AI132" s="82" t="str">
        <f t="shared" si="58"/>
        <v>-</v>
      </c>
      <c r="AJ132" s="82">
        <f t="shared" si="59"/>
        <v>3</v>
      </c>
      <c r="AK132" s="82" t="str">
        <f t="shared" si="60"/>
        <v>-</v>
      </c>
      <c r="AL132" s="82" t="str">
        <f t="shared" si="61"/>
        <v>Identifica este registro como HOMBRE</v>
      </c>
      <c r="AM132" s="82" t="str">
        <f t="shared" si="62"/>
        <v>-</v>
      </c>
      <c r="AN132" s="82" t="str">
        <f t="shared" si="63"/>
        <v>-</v>
      </c>
      <c r="AO132" s="82" t="str">
        <f t="shared" si="64"/>
        <v>-</v>
      </c>
      <c r="AP132" s="57" t="str">
        <f t="shared" si="65"/>
        <v>-</v>
      </c>
      <c r="AQ132" s="86" t="str">
        <f t="shared" si="66"/>
        <v>-</v>
      </c>
      <c r="AR132" s="86" t="str">
        <f>IF(N132="","PRIMER_DIA en blanco",
IF(AND(M132="01",N132&gt;=L_Conversion!$C$118,N132&lt;=L_Conversion!$D$118),"-",
IF(AND(M132="02",N132&gt;=L_Conversion!$C$119,N132&lt;=L_Conversion!$D$119),"-",
IF(AND(M132="03",N132&gt;=L_Conversion!$C$120,N132&lt;=L_Conversion!$D$120),"-",
IF(AND(M132="04",N132&gt;=L_Conversion!$C$121,N132&lt;=L_Conversion!$D$121),"-",
IF(AND(M132="05",N132&gt;=L_Conversion!$C$122,N132&lt;=L_Conversion!$D$122),"-",
IF(AND(M132="06",N132&gt;=L_Conversion!$C$123,N132&lt;=L_Conversion!$D$123),"-",
IF(AND(M132="07",N132&gt;=L_Conversion!$C$124,N132&lt;=L_Conversion!$D$124),"-",
IF(AND(M132="08",N132&gt;=L_Conversion!$C$125,N132&lt;=L_Conversion!$D$125),"-",
IF(AND(M132="09",N132&gt;=L_Conversion!$C$126,N132&lt;=L_Conversion!$D$126),"-",
IF(AND(M132="10",N132&gt;=L_Conversion!$C$127,N132&lt;=L_Conversion!$D$127),"-",
IF(AND(M132="11",N132&gt;=L_Conversion!$C$128,N132&lt;=L_Conversion!$D$128),"-",
IF(AND(M132="12",N132&gt;=L_Conversion!$C$129,N132&lt;=L_Conversion!$D$129),"-",
IF(AND(M132="13",N132&gt;=L_Conversion!$C$116,N132&lt;=L_Conversion!$D$116),"-",
IF(AND(M132="14",N132&gt;=L_Conversion!$C$117,N132&lt;=L_Conversion!$D$117),"-",
"PRIMER_DIA fuera de rango")))))))))))))))</f>
        <v>-</v>
      </c>
      <c r="AS132" s="86" t="str">
        <f t="shared" si="67"/>
        <v>-</v>
      </c>
      <c r="AT132" s="86" t="str">
        <f t="shared" si="68"/>
        <v>-</v>
      </c>
      <c r="AU132" s="86" t="str">
        <f t="shared" si="69"/>
        <v>-</v>
      </c>
      <c r="AV132" s="86" t="str">
        <f t="shared" si="70"/>
        <v>-</v>
      </c>
      <c r="AW132" s="86" t="str">
        <f t="shared" si="71"/>
        <v>-</v>
      </c>
      <c r="AX132" s="86" t="str">
        <f t="shared" si="72"/>
        <v>-</v>
      </c>
      <c r="AY132" s="86" t="str">
        <f t="shared" si="73"/>
        <v>-</v>
      </c>
      <c r="AZ132" s="86" t="str">
        <f t="shared" si="74"/>
        <v>-</v>
      </c>
      <c r="BA132" s="86" t="str">
        <f t="shared" si="75"/>
        <v>-</v>
      </c>
      <c r="BB132" s="86" t="str">
        <f t="shared" si="76"/>
        <v>-</v>
      </c>
      <c r="BC132" s="86" t="str">
        <f t="shared" si="77"/>
        <v>-</v>
      </c>
      <c r="BD132" s="86" t="str">
        <f t="shared" si="78"/>
        <v>-</v>
      </c>
      <c r="BE132" s="86" t="str">
        <f t="shared" si="79"/>
        <v>-</v>
      </c>
      <c r="BF132" s="86" t="str">
        <f t="shared" si="80"/>
        <v>-</v>
      </c>
    </row>
    <row r="133" spans="1:58" x14ac:dyDescent="0.2">
      <c r="A133" s="80" t="s">
        <v>1144</v>
      </c>
      <c r="B133" s="92" t="s">
        <v>76</v>
      </c>
      <c r="C133" s="202">
        <v>15333581</v>
      </c>
      <c r="D133" s="203">
        <v>8</v>
      </c>
      <c r="E133" s="204" t="s">
        <v>1429</v>
      </c>
      <c r="F133" s="204" t="s">
        <v>1430</v>
      </c>
      <c r="G133" s="204" t="s">
        <v>1290</v>
      </c>
      <c r="H133" s="205" t="s">
        <v>1033</v>
      </c>
      <c r="I133" s="205" t="s">
        <v>662</v>
      </c>
      <c r="J133" s="203">
        <v>80</v>
      </c>
      <c r="K133" s="204" t="s">
        <v>563</v>
      </c>
      <c r="L133" s="206" t="s">
        <v>502</v>
      </c>
      <c r="M133" s="210" t="s">
        <v>21</v>
      </c>
      <c r="N133" s="211">
        <v>45691</v>
      </c>
      <c r="O133" s="207">
        <v>15</v>
      </c>
      <c r="P133" s="203">
        <v>1</v>
      </c>
      <c r="Q133" s="205" t="s">
        <v>23</v>
      </c>
      <c r="R133" s="205" t="s">
        <v>11</v>
      </c>
      <c r="S133" s="205" t="s">
        <v>23</v>
      </c>
      <c r="T133" s="207">
        <v>15</v>
      </c>
      <c r="U133" s="208" t="s">
        <v>11</v>
      </c>
      <c r="V133" s="212" t="s">
        <v>11</v>
      </c>
      <c r="W133" s="212" t="s">
        <v>19</v>
      </c>
      <c r="X133" s="209">
        <v>1596130</v>
      </c>
      <c r="Y133" s="213" t="s">
        <v>735</v>
      </c>
      <c r="Z133" s="209">
        <v>15</v>
      </c>
      <c r="AA133" s="209">
        <v>1596130</v>
      </c>
      <c r="AB133" s="209">
        <v>1596130</v>
      </c>
      <c r="AC133" s="178" t="str">
        <f>IF(OR(M133="13",M133="14",P133=8),"",IF(AND(OR(S133="AUTORIZADO", S133="PENDIENTE", S133="REDUCIDO", S133="AMPLIADO"),L133&lt;&gt;"HONORARIO" ), CONCATENATE(IF(H133="X","H",H133),"_",IF(OR(P133=5,P133=6),_xlfn.CONCAT(P133,"A"),P133),"_",VLOOKUP(T133,Datos!$B$2:$C$5,2,TRUE)),""))</f>
        <v>M_1_[11 +]</v>
      </c>
      <c r="AD133" s="178">
        <f t="shared" si="54"/>
        <v>3192260</v>
      </c>
      <c r="AE133" s="82" t="str">
        <f t="shared" si="55"/>
        <v>-</v>
      </c>
      <c r="AF133" s="83" t="str">
        <f t="shared" si="56"/>
        <v>070601</v>
      </c>
      <c r="AG133" s="84"/>
      <c r="AH133" s="85" t="str">
        <f t="shared" si="57"/>
        <v>Corporación de Fomento de la Producción</v>
      </c>
      <c r="AI133" s="82" t="str">
        <f t="shared" si="58"/>
        <v>-</v>
      </c>
      <c r="AJ133" s="82">
        <f t="shared" si="59"/>
        <v>8</v>
      </c>
      <c r="AK133" s="82" t="str">
        <f t="shared" si="60"/>
        <v>-</v>
      </c>
      <c r="AL133" s="82" t="str">
        <f t="shared" si="61"/>
        <v>Identifica este registro como MUJER</v>
      </c>
      <c r="AM133" s="82" t="str">
        <f t="shared" si="62"/>
        <v>-</v>
      </c>
      <c r="AN133" s="82" t="str">
        <f t="shared" si="63"/>
        <v>-</v>
      </c>
      <c r="AO133" s="82" t="str">
        <f t="shared" si="64"/>
        <v>-</v>
      </c>
      <c r="AP133" s="57" t="str">
        <f t="shared" si="65"/>
        <v>-</v>
      </c>
      <c r="AQ133" s="86" t="str">
        <f t="shared" si="66"/>
        <v>-</v>
      </c>
      <c r="AR133" s="86" t="str">
        <f>IF(N133="","PRIMER_DIA en blanco",
IF(AND(M133="01",N133&gt;=L_Conversion!$C$118,N133&lt;=L_Conversion!$D$118),"-",
IF(AND(M133="02",N133&gt;=L_Conversion!$C$119,N133&lt;=L_Conversion!$D$119),"-",
IF(AND(M133="03",N133&gt;=L_Conversion!$C$120,N133&lt;=L_Conversion!$D$120),"-",
IF(AND(M133="04",N133&gt;=L_Conversion!$C$121,N133&lt;=L_Conversion!$D$121),"-",
IF(AND(M133="05",N133&gt;=L_Conversion!$C$122,N133&lt;=L_Conversion!$D$122),"-",
IF(AND(M133="06",N133&gt;=L_Conversion!$C$123,N133&lt;=L_Conversion!$D$123),"-",
IF(AND(M133="07",N133&gt;=L_Conversion!$C$124,N133&lt;=L_Conversion!$D$124),"-",
IF(AND(M133="08",N133&gt;=L_Conversion!$C$125,N133&lt;=L_Conversion!$D$125),"-",
IF(AND(M133="09",N133&gt;=L_Conversion!$C$126,N133&lt;=L_Conversion!$D$126),"-",
IF(AND(M133="10",N133&gt;=L_Conversion!$C$127,N133&lt;=L_Conversion!$D$127),"-",
IF(AND(M133="11",N133&gt;=L_Conversion!$C$128,N133&lt;=L_Conversion!$D$128),"-",
IF(AND(M133="12",N133&gt;=L_Conversion!$C$129,N133&lt;=L_Conversion!$D$129),"-",
IF(AND(M133="13",N133&gt;=L_Conversion!$C$116,N133&lt;=L_Conversion!$D$116),"-",
IF(AND(M133="14",N133&gt;=L_Conversion!$C$117,N133&lt;=L_Conversion!$D$117),"-",
"PRIMER_DIA fuera de rango")))))))))))))))</f>
        <v>-</v>
      </c>
      <c r="AS133" s="86" t="str">
        <f t="shared" si="67"/>
        <v>-</v>
      </c>
      <c r="AT133" s="86" t="str">
        <f t="shared" si="68"/>
        <v>-</v>
      </c>
      <c r="AU133" s="86" t="str">
        <f t="shared" si="69"/>
        <v>-</v>
      </c>
      <c r="AV133" s="86" t="str">
        <f t="shared" si="70"/>
        <v>-</v>
      </c>
      <c r="AW133" s="86" t="str">
        <f t="shared" si="71"/>
        <v>-</v>
      </c>
      <c r="AX133" s="86" t="str">
        <f t="shared" si="72"/>
        <v>-</v>
      </c>
      <c r="AY133" s="86" t="str">
        <f t="shared" si="73"/>
        <v>-</v>
      </c>
      <c r="AZ133" s="86" t="str">
        <f t="shared" si="74"/>
        <v>-</v>
      </c>
      <c r="BA133" s="86" t="str">
        <f t="shared" si="75"/>
        <v>-</v>
      </c>
      <c r="BB133" s="86" t="str">
        <f t="shared" si="76"/>
        <v>-</v>
      </c>
      <c r="BC133" s="86" t="str">
        <f t="shared" si="77"/>
        <v>-</v>
      </c>
      <c r="BD133" s="86" t="str">
        <f t="shared" si="78"/>
        <v>-</v>
      </c>
      <c r="BE133" s="86" t="str">
        <f t="shared" si="79"/>
        <v>-</v>
      </c>
      <c r="BF133" s="86" t="str">
        <f t="shared" si="80"/>
        <v>-</v>
      </c>
    </row>
    <row r="134" spans="1:58" x14ac:dyDescent="0.2">
      <c r="A134" s="80" t="s">
        <v>1144</v>
      </c>
      <c r="B134" s="92" t="s">
        <v>76</v>
      </c>
      <c r="C134" s="202">
        <v>9124197</v>
      </c>
      <c r="D134" s="203">
        <v>8</v>
      </c>
      <c r="E134" s="204" t="s">
        <v>1152</v>
      </c>
      <c r="F134" s="204" t="s">
        <v>1181</v>
      </c>
      <c r="G134" s="204" t="s">
        <v>1431</v>
      </c>
      <c r="H134" s="205" t="s">
        <v>1033</v>
      </c>
      <c r="I134" s="205" t="s">
        <v>662</v>
      </c>
      <c r="J134" s="203">
        <v>80</v>
      </c>
      <c r="K134" s="204" t="s">
        <v>567</v>
      </c>
      <c r="L134" s="206" t="s">
        <v>502</v>
      </c>
      <c r="M134" s="210" t="s">
        <v>21</v>
      </c>
      <c r="N134" s="211">
        <v>45691</v>
      </c>
      <c r="O134" s="207">
        <v>3</v>
      </c>
      <c r="P134" s="203">
        <v>1</v>
      </c>
      <c r="Q134" s="205" t="s">
        <v>23</v>
      </c>
      <c r="R134" s="205" t="s">
        <v>11</v>
      </c>
      <c r="S134" s="205" t="s">
        <v>23</v>
      </c>
      <c r="T134" s="207">
        <v>3</v>
      </c>
      <c r="U134" s="208" t="s">
        <v>11</v>
      </c>
      <c r="V134" s="212" t="s">
        <v>19</v>
      </c>
      <c r="W134" s="212" t="s">
        <v>19</v>
      </c>
      <c r="X134" s="209">
        <v>35021</v>
      </c>
      <c r="Y134" s="213" t="s">
        <v>735</v>
      </c>
      <c r="Z134" s="209">
        <v>3</v>
      </c>
      <c r="AA134" s="209">
        <v>35021</v>
      </c>
      <c r="AB134" s="209">
        <v>35021</v>
      </c>
      <c r="AC134" s="178" t="str">
        <f>IF(OR(M134="13",M134="14",P134=8),"",IF(AND(OR(S134="AUTORIZADO", S134="PENDIENTE", S134="REDUCIDO", S134="AMPLIADO"),L134&lt;&gt;"HONORARIO" ), CONCATENATE(IF(H134="X","H",H134),"_",IF(OR(P134=5,P134=6),_xlfn.CONCAT(P134,"A"),P134),"_",VLOOKUP(T134,Datos!$B$2:$C$5,2,TRUE)),""))</f>
        <v>M_1_[hasta 3]</v>
      </c>
      <c r="AD134" s="178">
        <f t="shared" si="54"/>
        <v>70042</v>
      </c>
      <c r="AE134" s="82" t="str">
        <f t="shared" si="55"/>
        <v>-</v>
      </c>
      <c r="AF134" s="83" t="str">
        <f t="shared" si="56"/>
        <v>070601</v>
      </c>
      <c r="AG134" s="84"/>
      <c r="AH134" s="85" t="str">
        <f t="shared" si="57"/>
        <v>Corporación de Fomento de la Producción</v>
      </c>
      <c r="AI134" s="82" t="str">
        <f t="shared" si="58"/>
        <v>-</v>
      </c>
      <c r="AJ134" s="82">
        <f t="shared" si="59"/>
        <v>8</v>
      </c>
      <c r="AK134" s="82" t="str">
        <f t="shared" si="60"/>
        <v>-</v>
      </c>
      <c r="AL134" s="82" t="str">
        <f t="shared" si="61"/>
        <v>Identifica este registro como MUJER</v>
      </c>
      <c r="AM134" s="82" t="str">
        <f t="shared" si="62"/>
        <v>-</v>
      </c>
      <c r="AN134" s="82" t="str">
        <f t="shared" si="63"/>
        <v>-</v>
      </c>
      <c r="AO134" s="82" t="str">
        <f t="shared" si="64"/>
        <v>-</v>
      </c>
      <c r="AP134" s="57" t="str">
        <f t="shared" si="65"/>
        <v>-</v>
      </c>
      <c r="AQ134" s="86" t="str">
        <f t="shared" si="66"/>
        <v>-</v>
      </c>
      <c r="AR134" s="86" t="str">
        <f>IF(N134="","PRIMER_DIA en blanco",
IF(AND(M134="01",N134&gt;=L_Conversion!$C$118,N134&lt;=L_Conversion!$D$118),"-",
IF(AND(M134="02",N134&gt;=L_Conversion!$C$119,N134&lt;=L_Conversion!$D$119),"-",
IF(AND(M134="03",N134&gt;=L_Conversion!$C$120,N134&lt;=L_Conversion!$D$120),"-",
IF(AND(M134="04",N134&gt;=L_Conversion!$C$121,N134&lt;=L_Conversion!$D$121),"-",
IF(AND(M134="05",N134&gt;=L_Conversion!$C$122,N134&lt;=L_Conversion!$D$122),"-",
IF(AND(M134="06",N134&gt;=L_Conversion!$C$123,N134&lt;=L_Conversion!$D$123),"-",
IF(AND(M134="07",N134&gt;=L_Conversion!$C$124,N134&lt;=L_Conversion!$D$124),"-",
IF(AND(M134="08",N134&gt;=L_Conversion!$C$125,N134&lt;=L_Conversion!$D$125),"-",
IF(AND(M134="09",N134&gt;=L_Conversion!$C$126,N134&lt;=L_Conversion!$D$126),"-",
IF(AND(M134="10",N134&gt;=L_Conversion!$C$127,N134&lt;=L_Conversion!$D$127),"-",
IF(AND(M134="11",N134&gt;=L_Conversion!$C$128,N134&lt;=L_Conversion!$D$128),"-",
IF(AND(M134="12",N134&gt;=L_Conversion!$C$129,N134&lt;=L_Conversion!$D$129),"-",
IF(AND(M134="13",N134&gt;=L_Conversion!$C$116,N134&lt;=L_Conversion!$D$116),"-",
IF(AND(M134="14",N134&gt;=L_Conversion!$C$117,N134&lt;=L_Conversion!$D$117),"-",
"PRIMER_DIA fuera de rango")))))))))))))))</f>
        <v>-</v>
      </c>
      <c r="AS134" s="86" t="str">
        <f t="shared" si="67"/>
        <v>-</v>
      </c>
      <c r="AT134" s="86" t="str">
        <f t="shared" si="68"/>
        <v>-</v>
      </c>
      <c r="AU134" s="86" t="str">
        <f t="shared" si="69"/>
        <v>-</v>
      </c>
      <c r="AV134" s="86" t="str">
        <f t="shared" si="70"/>
        <v>-</v>
      </c>
      <c r="AW134" s="86" t="str">
        <f t="shared" si="71"/>
        <v>-</v>
      </c>
      <c r="AX134" s="86" t="str">
        <f t="shared" si="72"/>
        <v>-</v>
      </c>
      <c r="AY134" s="86" t="str">
        <f t="shared" si="73"/>
        <v>-</v>
      </c>
      <c r="AZ134" s="86" t="str">
        <f t="shared" si="74"/>
        <v>-</v>
      </c>
      <c r="BA134" s="86" t="str">
        <f t="shared" si="75"/>
        <v>-</v>
      </c>
      <c r="BB134" s="86" t="str">
        <f t="shared" si="76"/>
        <v>-</v>
      </c>
      <c r="BC134" s="86" t="str">
        <f t="shared" si="77"/>
        <v>-</v>
      </c>
      <c r="BD134" s="86" t="str">
        <f t="shared" si="78"/>
        <v>-</v>
      </c>
      <c r="BE134" s="86" t="str">
        <f t="shared" si="79"/>
        <v>-</v>
      </c>
      <c r="BF134" s="86" t="str">
        <f t="shared" si="80"/>
        <v>-</v>
      </c>
    </row>
    <row r="135" spans="1:58" x14ac:dyDescent="0.2">
      <c r="A135" s="80" t="s">
        <v>1144</v>
      </c>
      <c r="B135" s="92" t="s">
        <v>76</v>
      </c>
      <c r="C135" s="202">
        <v>17343114</v>
      </c>
      <c r="D135" s="203">
        <v>7</v>
      </c>
      <c r="E135" s="204" t="s">
        <v>1198</v>
      </c>
      <c r="F135" s="204" t="s">
        <v>1277</v>
      </c>
      <c r="G135" s="204" t="s">
        <v>1432</v>
      </c>
      <c r="H135" s="205" t="s">
        <v>1033</v>
      </c>
      <c r="I135" s="205" t="s">
        <v>662</v>
      </c>
      <c r="J135" s="203">
        <v>80</v>
      </c>
      <c r="K135" s="204" t="s">
        <v>563</v>
      </c>
      <c r="L135" s="206" t="s">
        <v>502</v>
      </c>
      <c r="M135" s="210" t="s">
        <v>21</v>
      </c>
      <c r="N135" s="211">
        <v>45691</v>
      </c>
      <c r="O135" s="207">
        <v>2</v>
      </c>
      <c r="P135" s="203">
        <v>1</v>
      </c>
      <c r="Q135" s="205" t="s">
        <v>23</v>
      </c>
      <c r="R135" s="205" t="s">
        <v>11</v>
      </c>
      <c r="S135" s="205" t="s">
        <v>23</v>
      </c>
      <c r="T135" s="207">
        <v>2</v>
      </c>
      <c r="U135" s="208" t="s">
        <v>11</v>
      </c>
      <c r="V135" s="212" t="s">
        <v>19</v>
      </c>
      <c r="W135" s="212" t="s">
        <v>19</v>
      </c>
      <c r="X135" s="209">
        <v>42464</v>
      </c>
      <c r="Y135" s="213" t="s">
        <v>735</v>
      </c>
      <c r="Z135" s="209">
        <v>2</v>
      </c>
      <c r="AA135" s="209">
        <v>42464</v>
      </c>
      <c r="AB135" s="209">
        <v>42464</v>
      </c>
      <c r="AC135" s="178" t="str">
        <f>IF(OR(M135="13",M135="14",P135=8),"",IF(AND(OR(S135="AUTORIZADO", S135="PENDIENTE", S135="REDUCIDO", S135="AMPLIADO"),L135&lt;&gt;"HONORARIO" ), CONCATENATE(IF(H135="X","H",H135),"_",IF(OR(P135=5,P135=6),_xlfn.CONCAT(P135,"A"),P135),"_",VLOOKUP(T135,Datos!$B$2:$C$5,2,TRUE)),""))</f>
        <v>M_1_[hasta 3]</v>
      </c>
      <c r="AD135" s="178">
        <f t="shared" si="54"/>
        <v>84928</v>
      </c>
      <c r="AE135" s="82" t="str">
        <f t="shared" si="55"/>
        <v>-</v>
      </c>
      <c r="AF135" s="83" t="str">
        <f t="shared" si="56"/>
        <v>070601</v>
      </c>
      <c r="AG135" s="84"/>
      <c r="AH135" s="85" t="str">
        <f t="shared" si="57"/>
        <v>Corporación de Fomento de la Producción</v>
      </c>
      <c r="AI135" s="82" t="str">
        <f t="shared" si="58"/>
        <v>-</v>
      </c>
      <c r="AJ135" s="82">
        <f t="shared" si="59"/>
        <v>7</v>
      </c>
      <c r="AK135" s="82" t="str">
        <f t="shared" si="60"/>
        <v>-</v>
      </c>
      <c r="AL135" s="82" t="str">
        <f t="shared" si="61"/>
        <v>Identifica este registro como MUJER</v>
      </c>
      <c r="AM135" s="82" t="str">
        <f t="shared" si="62"/>
        <v>-</v>
      </c>
      <c r="AN135" s="82" t="str">
        <f t="shared" si="63"/>
        <v>-</v>
      </c>
      <c r="AO135" s="82" t="str">
        <f t="shared" si="64"/>
        <v>-</v>
      </c>
      <c r="AP135" s="57" t="str">
        <f t="shared" si="65"/>
        <v>-</v>
      </c>
      <c r="AQ135" s="86" t="str">
        <f t="shared" si="66"/>
        <v>-</v>
      </c>
      <c r="AR135" s="86" t="str">
        <f>IF(N135="","PRIMER_DIA en blanco",
IF(AND(M135="01",N135&gt;=L_Conversion!$C$118,N135&lt;=L_Conversion!$D$118),"-",
IF(AND(M135="02",N135&gt;=L_Conversion!$C$119,N135&lt;=L_Conversion!$D$119),"-",
IF(AND(M135="03",N135&gt;=L_Conversion!$C$120,N135&lt;=L_Conversion!$D$120),"-",
IF(AND(M135="04",N135&gt;=L_Conversion!$C$121,N135&lt;=L_Conversion!$D$121),"-",
IF(AND(M135="05",N135&gt;=L_Conversion!$C$122,N135&lt;=L_Conversion!$D$122),"-",
IF(AND(M135="06",N135&gt;=L_Conversion!$C$123,N135&lt;=L_Conversion!$D$123),"-",
IF(AND(M135="07",N135&gt;=L_Conversion!$C$124,N135&lt;=L_Conversion!$D$124),"-",
IF(AND(M135="08",N135&gt;=L_Conversion!$C$125,N135&lt;=L_Conversion!$D$125),"-",
IF(AND(M135="09",N135&gt;=L_Conversion!$C$126,N135&lt;=L_Conversion!$D$126),"-",
IF(AND(M135="10",N135&gt;=L_Conversion!$C$127,N135&lt;=L_Conversion!$D$127),"-",
IF(AND(M135="11",N135&gt;=L_Conversion!$C$128,N135&lt;=L_Conversion!$D$128),"-",
IF(AND(M135="12",N135&gt;=L_Conversion!$C$129,N135&lt;=L_Conversion!$D$129),"-",
IF(AND(M135="13",N135&gt;=L_Conversion!$C$116,N135&lt;=L_Conversion!$D$116),"-",
IF(AND(M135="14",N135&gt;=L_Conversion!$C$117,N135&lt;=L_Conversion!$D$117),"-",
"PRIMER_DIA fuera de rango")))))))))))))))</f>
        <v>-</v>
      </c>
      <c r="AS135" s="86" t="str">
        <f t="shared" si="67"/>
        <v>-</v>
      </c>
      <c r="AT135" s="86" t="str">
        <f t="shared" si="68"/>
        <v>-</v>
      </c>
      <c r="AU135" s="86" t="str">
        <f t="shared" si="69"/>
        <v>-</v>
      </c>
      <c r="AV135" s="86" t="str">
        <f t="shared" si="70"/>
        <v>-</v>
      </c>
      <c r="AW135" s="86" t="str">
        <f t="shared" si="71"/>
        <v>-</v>
      </c>
      <c r="AX135" s="86" t="str">
        <f t="shared" si="72"/>
        <v>-</v>
      </c>
      <c r="AY135" s="86" t="str">
        <f t="shared" si="73"/>
        <v>-</v>
      </c>
      <c r="AZ135" s="86" t="str">
        <f t="shared" si="74"/>
        <v>-</v>
      </c>
      <c r="BA135" s="86" t="str">
        <f t="shared" si="75"/>
        <v>-</v>
      </c>
      <c r="BB135" s="86" t="str">
        <f t="shared" si="76"/>
        <v>-</v>
      </c>
      <c r="BC135" s="86" t="str">
        <f t="shared" si="77"/>
        <v>-</v>
      </c>
      <c r="BD135" s="86" t="str">
        <f t="shared" si="78"/>
        <v>-</v>
      </c>
      <c r="BE135" s="86" t="str">
        <f t="shared" si="79"/>
        <v>-</v>
      </c>
      <c r="BF135" s="86" t="str">
        <f t="shared" si="80"/>
        <v>-</v>
      </c>
    </row>
    <row r="136" spans="1:58" x14ac:dyDescent="0.2">
      <c r="A136" s="80" t="s">
        <v>1144</v>
      </c>
      <c r="B136" s="92" t="s">
        <v>76</v>
      </c>
      <c r="C136" s="202">
        <v>16941040</v>
      </c>
      <c r="D136" s="203">
        <v>2</v>
      </c>
      <c r="E136" s="204" t="s">
        <v>1433</v>
      </c>
      <c r="F136" s="204" t="s">
        <v>1168</v>
      </c>
      <c r="G136" s="204" t="s">
        <v>1434</v>
      </c>
      <c r="H136" s="205" t="s">
        <v>663</v>
      </c>
      <c r="I136" s="205" t="s">
        <v>662</v>
      </c>
      <c r="J136" s="203">
        <v>80</v>
      </c>
      <c r="K136" s="204" t="s">
        <v>563</v>
      </c>
      <c r="L136" s="206" t="s">
        <v>502</v>
      </c>
      <c r="M136" s="210" t="s">
        <v>21</v>
      </c>
      <c r="N136" s="211">
        <v>45691</v>
      </c>
      <c r="O136" s="207">
        <v>3</v>
      </c>
      <c r="P136" s="203">
        <v>1</v>
      </c>
      <c r="Q136" s="205" t="s">
        <v>23</v>
      </c>
      <c r="R136" s="205" t="s">
        <v>11</v>
      </c>
      <c r="S136" s="205" t="s">
        <v>23</v>
      </c>
      <c r="T136" s="207">
        <v>3</v>
      </c>
      <c r="U136" s="208" t="s">
        <v>11</v>
      </c>
      <c r="V136" s="212" t="s">
        <v>19</v>
      </c>
      <c r="W136" s="212" t="s">
        <v>19</v>
      </c>
      <c r="X136" s="209">
        <v>59773</v>
      </c>
      <c r="Y136" s="213" t="s">
        <v>735</v>
      </c>
      <c r="Z136" s="209">
        <v>3</v>
      </c>
      <c r="AA136" s="209">
        <v>59773</v>
      </c>
      <c r="AB136" s="209">
        <v>59773</v>
      </c>
      <c r="AC136" s="178" t="str">
        <f>IF(OR(M136="13",M136="14",P136=8),"",IF(AND(OR(S136="AUTORIZADO", S136="PENDIENTE", S136="REDUCIDO", S136="AMPLIADO"),L136&lt;&gt;"HONORARIO" ), CONCATENATE(IF(H136="X","H",H136),"_",IF(OR(P136=5,P136=6),_xlfn.CONCAT(P136,"A"),P136),"_",VLOOKUP(T136,Datos!$B$2:$C$5,2,TRUE)),""))</f>
        <v>H_1_[hasta 3]</v>
      </c>
      <c r="AD136" s="178">
        <f t="shared" si="54"/>
        <v>119546</v>
      </c>
      <c r="AE136" s="82" t="str">
        <f t="shared" si="55"/>
        <v>-</v>
      </c>
      <c r="AF136" s="83" t="str">
        <f t="shared" si="56"/>
        <v>070601</v>
      </c>
      <c r="AG136" s="84"/>
      <c r="AH136" s="85" t="str">
        <f t="shared" si="57"/>
        <v>Corporación de Fomento de la Producción</v>
      </c>
      <c r="AI136" s="82" t="str">
        <f t="shared" si="58"/>
        <v>-</v>
      </c>
      <c r="AJ136" s="82">
        <f t="shared" si="59"/>
        <v>2</v>
      </c>
      <c r="AK136" s="82" t="str">
        <f t="shared" si="60"/>
        <v>-</v>
      </c>
      <c r="AL136" s="82" t="str">
        <f t="shared" si="61"/>
        <v>Identifica este registro como HOMBRE</v>
      </c>
      <c r="AM136" s="82" t="str">
        <f t="shared" si="62"/>
        <v>-</v>
      </c>
      <c r="AN136" s="82" t="str">
        <f t="shared" si="63"/>
        <v>-</v>
      </c>
      <c r="AO136" s="82" t="str">
        <f t="shared" si="64"/>
        <v>-</v>
      </c>
      <c r="AP136" s="57" t="str">
        <f t="shared" si="65"/>
        <v>-</v>
      </c>
      <c r="AQ136" s="86" t="str">
        <f t="shared" si="66"/>
        <v>-</v>
      </c>
      <c r="AR136" s="86" t="str">
        <f>IF(N136="","PRIMER_DIA en blanco",
IF(AND(M136="01",N136&gt;=L_Conversion!$C$118,N136&lt;=L_Conversion!$D$118),"-",
IF(AND(M136="02",N136&gt;=L_Conversion!$C$119,N136&lt;=L_Conversion!$D$119),"-",
IF(AND(M136="03",N136&gt;=L_Conversion!$C$120,N136&lt;=L_Conversion!$D$120),"-",
IF(AND(M136="04",N136&gt;=L_Conversion!$C$121,N136&lt;=L_Conversion!$D$121),"-",
IF(AND(M136="05",N136&gt;=L_Conversion!$C$122,N136&lt;=L_Conversion!$D$122),"-",
IF(AND(M136="06",N136&gt;=L_Conversion!$C$123,N136&lt;=L_Conversion!$D$123),"-",
IF(AND(M136="07",N136&gt;=L_Conversion!$C$124,N136&lt;=L_Conversion!$D$124),"-",
IF(AND(M136="08",N136&gt;=L_Conversion!$C$125,N136&lt;=L_Conversion!$D$125),"-",
IF(AND(M136="09",N136&gt;=L_Conversion!$C$126,N136&lt;=L_Conversion!$D$126),"-",
IF(AND(M136="10",N136&gt;=L_Conversion!$C$127,N136&lt;=L_Conversion!$D$127),"-",
IF(AND(M136="11",N136&gt;=L_Conversion!$C$128,N136&lt;=L_Conversion!$D$128),"-",
IF(AND(M136="12",N136&gt;=L_Conversion!$C$129,N136&lt;=L_Conversion!$D$129),"-",
IF(AND(M136="13",N136&gt;=L_Conversion!$C$116,N136&lt;=L_Conversion!$D$116),"-",
IF(AND(M136="14",N136&gt;=L_Conversion!$C$117,N136&lt;=L_Conversion!$D$117),"-",
"PRIMER_DIA fuera de rango")))))))))))))))</f>
        <v>-</v>
      </c>
      <c r="AS136" s="86" t="str">
        <f t="shared" si="67"/>
        <v>-</v>
      </c>
      <c r="AT136" s="86" t="str">
        <f t="shared" si="68"/>
        <v>-</v>
      </c>
      <c r="AU136" s="86" t="str">
        <f t="shared" si="69"/>
        <v>-</v>
      </c>
      <c r="AV136" s="86" t="str">
        <f t="shared" si="70"/>
        <v>-</v>
      </c>
      <c r="AW136" s="86" t="str">
        <f t="shared" si="71"/>
        <v>-</v>
      </c>
      <c r="AX136" s="86" t="str">
        <f t="shared" si="72"/>
        <v>-</v>
      </c>
      <c r="AY136" s="86" t="str">
        <f t="shared" si="73"/>
        <v>-</v>
      </c>
      <c r="AZ136" s="86" t="str">
        <f t="shared" si="74"/>
        <v>-</v>
      </c>
      <c r="BA136" s="86" t="str">
        <f t="shared" si="75"/>
        <v>-</v>
      </c>
      <c r="BB136" s="86" t="str">
        <f t="shared" si="76"/>
        <v>-</v>
      </c>
      <c r="BC136" s="86" t="str">
        <f t="shared" si="77"/>
        <v>-</v>
      </c>
      <c r="BD136" s="86" t="str">
        <f t="shared" si="78"/>
        <v>-</v>
      </c>
      <c r="BE136" s="86" t="str">
        <f t="shared" si="79"/>
        <v>-</v>
      </c>
      <c r="BF136" s="86" t="str">
        <f t="shared" si="80"/>
        <v>-</v>
      </c>
    </row>
    <row r="137" spans="1:58" x14ac:dyDescent="0.2">
      <c r="A137" s="80" t="s">
        <v>1144</v>
      </c>
      <c r="B137" s="92" t="s">
        <v>76</v>
      </c>
      <c r="C137" s="202">
        <v>18693838</v>
      </c>
      <c r="D137" s="203">
        <v>0</v>
      </c>
      <c r="E137" s="204" t="s">
        <v>1182</v>
      </c>
      <c r="F137" s="204" t="s">
        <v>1381</v>
      </c>
      <c r="G137" s="204" t="s">
        <v>1382</v>
      </c>
      <c r="H137" s="205" t="s">
        <v>1033</v>
      </c>
      <c r="I137" s="205" t="s">
        <v>662</v>
      </c>
      <c r="J137" s="203">
        <v>80</v>
      </c>
      <c r="K137" s="204" t="s">
        <v>563</v>
      </c>
      <c r="L137" s="206" t="s">
        <v>502</v>
      </c>
      <c r="M137" s="210" t="s">
        <v>21</v>
      </c>
      <c r="N137" s="211">
        <v>45691</v>
      </c>
      <c r="O137" s="207">
        <v>2</v>
      </c>
      <c r="P137" s="203">
        <v>1</v>
      </c>
      <c r="Q137" s="205" t="s">
        <v>23</v>
      </c>
      <c r="R137" s="205" t="s">
        <v>11</v>
      </c>
      <c r="S137" s="205" t="s">
        <v>23</v>
      </c>
      <c r="T137" s="207">
        <v>2</v>
      </c>
      <c r="U137" s="208" t="s">
        <v>11</v>
      </c>
      <c r="V137" s="212" t="s">
        <v>19</v>
      </c>
      <c r="W137" s="212" t="s">
        <v>19</v>
      </c>
      <c r="X137" s="209">
        <v>30285</v>
      </c>
      <c r="Y137" s="213" t="s">
        <v>735</v>
      </c>
      <c r="Z137" s="209">
        <v>2</v>
      </c>
      <c r="AA137" s="209">
        <v>30285</v>
      </c>
      <c r="AB137" s="209">
        <v>30285</v>
      </c>
      <c r="AC137" s="178" t="str">
        <f>IF(OR(M137="13",M137="14",P137=8),"",IF(AND(OR(S137="AUTORIZADO", S137="PENDIENTE", S137="REDUCIDO", S137="AMPLIADO"),L137&lt;&gt;"HONORARIO" ), CONCATENATE(IF(H137="X","H",H137),"_",IF(OR(P137=5,P137=6),_xlfn.CONCAT(P137,"A"),P137),"_",VLOOKUP(T137,Datos!$B$2:$C$5,2,TRUE)),""))</f>
        <v>M_1_[hasta 3]</v>
      </c>
      <c r="AD137" s="178">
        <f t="shared" si="54"/>
        <v>60570</v>
      </c>
      <c r="AE137" s="82" t="str">
        <f t="shared" si="55"/>
        <v>-</v>
      </c>
      <c r="AF137" s="83" t="str">
        <f t="shared" si="56"/>
        <v>070601</v>
      </c>
      <c r="AG137" s="84"/>
      <c r="AH137" s="85" t="str">
        <f t="shared" si="57"/>
        <v>Corporación de Fomento de la Producción</v>
      </c>
      <c r="AI137" s="82" t="str">
        <f t="shared" si="58"/>
        <v>-</v>
      </c>
      <c r="AJ137" s="82">
        <f t="shared" si="59"/>
        <v>0</v>
      </c>
      <c r="AK137" s="82" t="str">
        <f t="shared" si="60"/>
        <v>-</v>
      </c>
      <c r="AL137" s="82" t="str">
        <f t="shared" si="61"/>
        <v>Identifica este registro como MUJER</v>
      </c>
      <c r="AM137" s="82" t="str">
        <f t="shared" si="62"/>
        <v>-</v>
      </c>
      <c r="AN137" s="82" t="str">
        <f t="shared" si="63"/>
        <v>-</v>
      </c>
      <c r="AO137" s="82" t="str">
        <f t="shared" si="64"/>
        <v>-</v>
      </c>
      <c r="AP137" s="57" t="str">
        <f t="shared" si="65"/>
        <v>-</v>
      </c>
      <c r="AQ137" s="86" t="str">
        <f t="shared" si="66"/>
        <v>-</v>
      </c>
      <c r="AR137" s="86" t="str">
        <f>IF(N137="","PRIMER_DIA en blanco",
IF(AND(M137="01",N137&gt;=L_Conversion!$C$118,N137&lt;=L_Conversion!$D$118),"-",
IF(AND(M137="02",N137&gt;=L_Conversion!$C$119,N137&lt;=L_Conversion!$D$119),"-",
IF(AND(M137="03",N137&gt;=L_Conversion!$C$120,N137&lt;=L_Conversion!$D$120),"-",
IF(AND(M137="04",N137&gt;=L_Conversion!$C$121,N137&lt;=L_Conversion!$D$121),"-",
IF(AND(M137="05",N137&gt;=L_Conversion!$C$122,N137&lt;=L_Conversion!$D$122),"-",
IF(AND(M137="06",N137&gt;=L_Conversion!$C$123,N137&lt;=L_Conversion!$D$123),"-",
IF(AND(M137="07",N137&gt;=L_Conversion!$C$124,N137&lt;=L_Conversion!$D$124),"-",
IF(AND(M137="08",N137&gt;=L_Conversion!$C$125,N137&lt;=L_Conversion!$D$125),"-",
IF(AND(M137="09",N137&gt;=L_Conversion!$C$126,N137&lt;=L_Conversion!$D$126),"-",
IF(AND(M137="10",N137&gt;=L_Conversion!$C$127,N137&lt;=L_Conversion!$D$127),"-",
IF(AND(M137="11",N137&gt;=L_Conversion!$C$128,N137&lt;=L_Conversion!$D$128),"-",
IF(AND(M137="12",N137&gt;=L_Conversion!$C$129,N137&lt;=L_Conversion!$D$129),"-",
IF(AND(M137="13",N137&gt;=L_Conversion!$C$116,N137&lt;=L_Conversion!$D$116),"-",
IF(AND(M137="14",N137&gt;=L_Conversion!$C$117,N137&lt;=L_Conversion!$D$117),"-",
"PRIMER_DIA fuera de rango")))))))))))))))</f>
        <v>-</v>
      </c>
      <c r="AS137" s="86" t="str">
        <f t="shared" si="67"/>
        <v>-</v>
      </c>
      <c r="AT137" s="86" t="str">
        <f t="shared" si="68"/>
        <v>-</v>
      </c>
      <c r="AU137" s="86" t="str">
        <f t="shared" si="69"/>
        <v>-</v>
      </c>
      <c r="AV137" s="86" t="str">
        <f t="shared" si="70"/>
        <v>-</v>
      </c>
      <c r="AW137" s="86" t="str">
        <f t="shared" si="71"/>
        <v>-</v>
      </c>
      <c r="AX137" s="86" t="str">
        <f t="shared" si="72"/>
        <v>-</v>
      </c>
      <c r="AY137" s="86" t="str">
        <f t="shared" si="73"/>
        <v>-</v>
      </c>
      <c r="AZ137" s="86" t="str">
        <f t="shared" si="74"/>
        <v>-</v>
      </c>
      <c r="BA137" s="86" t="str">
        <f t="shared" si="75"/>
        <v>-</v>
      </c>
      <c r="BB137" s="86" t="str">
        <f t="shared" si="76"/>
        <v>-</v>
      </c>
      <c r="BC137" s="86" t="str">
        <f t="shared" si="77"/>
        <v>-</v>
      </c>
      <c r="BD137" s="86" t="str">
        <f t="shared" si="78"/>
        <v>-</v>
      </c>
      <c r="BE137" s="86" t="str">
        <f t="shared" si="79"/>
        <v>-</v>
      </c>
      <c r="BF137" s="86" t="str">
        <f t="shared" si="80"/>
        <v>-</v>
      </c>
    </row>
    <row r="138" spans="1:58" x14ac:dyDescent="0.2">
      <c r="A138" s="80" t="s">
        <v>1144</v>
      </c>
      <c r="B138" s="92" t="s">
        <v>76</v>
      </c>
      <c r="C138" s="202">
        <v>17286579</v>
      </c>
      <c r="D138" s="203">
        <v>8</v>
      </c>
      <c r="E138" s="204" t="s">
        <v>1166</v>
      </c>
      <c r="F138" s="204" t="s">
        <v>1435</v>
      </c>
      <c r="G138" s="204" t="s">
        <v>1436</v>
      </c>
      <c r="H138" s="205" t="s">
        <v>1033</v>
      </c>
      <c r="I138" s="205" t="s">
        <v>663</v>
      </c>
      <c r="J138" s="203">
        <v>80</v>
      </c>
      <c r="K138" s="204" t="s">
        <v>563</v>
      </c>
      <c r="L138" s="206" t="s">
        <v>516</v>
      </c>
      <c r="M138" s="210" t="s">
        <v>21</v>
      </c>
      <c r="N138" s="211">
        <v>45691</v>
      </c>
      <c r="O138" s="207">
        <v>3</v>
      </c>
      <c r="P138" s="203">
        <v>1</v>
      </c>
      <c r="Q138" s="205" t="s">
        <v>23</v>
      </c>
      <c r="R138" s="205" t="s">
        <v>11</v>
      </c>
      <c r="S138" s="205" t="s">
        <v>23</v>
      </c>
      <c r="T138" s="207">
        <v>3</v>
      </c>
      <c r="U138" s="208" t="s">
        <v>11</v>
      </c>
      <c r="V138" s="212" t="s">
        <v>19</v>
      </c>
      <c r="W138" s="212" t="s">
        <v>19</v>
      </c>
      <c r="X138" s="209">
        <v>64742</v>
      </c>
      <c r="Y138" s="213" t="s">
        <v>735</v>
      </c>
      <c r="Z138" s="209">
        <v>3</v>
      </c>
      <c r="AA138" s="209">
        <v>64742</v>
      </c>
      <c r="AB138" s="209">
        <v>64742</v>
      </c>
      <c r="AC138" s="178" t="str">
        <f>IF(OR(M138="13",M138="14",P138=8),"",IF(AND(OR(S138="AUTORIZADO", S138="PENDIENTE", S138="REDUCIDO", S138="AMPLIADO"),L138&lt;&gt;"HONORARIO" ), CONCATENATE(IF(H138="X","H",H138),"_",IF(OR(P138=5,P138=6),_xlfn.CONCAT(P138,"A"),P138),"_",VLOOKUP(T138,Datos!$B$2:$C$5,2,TRUE)),""))</f>
        <v>M_1_[hasta 3]</v>
      </c>
      <c r="AD138" s="178">
        <f t="shared" si="54"/>
        <v>129484</v>
      </c>
      <c r="AE138" s="82" t="str">
        <f t="shared" si="55"/>
        <v>-</v>
      </c>
      <c r="AF138" s="83" t="str">
        <f t="shared" si="56"/>
        <v>070601</v>
      </c>
      <c r="AG138" s="84"/>
      <c r="AH138" s="85" t="str">
        <f t="shared" si="57"/>
        <v>Corporación de Fomento de la Producción</v>
      </c>
      <c r="AI138" s="82" t="str">
        <f t="shared" si="58"/>
        <v>-</v>
      </c>
      <c r="AJ138" s="82">
        <f t="shared" si="59"/>
        <v>8</v>
      </c>
      <c r="AK138" s="82" t="str">
        <f t="shared" si="60"/>
        <v>-</v>
      </c>
      <c r="AL138" s="82" t="str">
        <f t="shared" si="61"/>
        <v>Identifica este registro como MUJER</v>
      </c>
      <c r="AM138" s="82" t="str">
        <f t="shared" si="62"/>
        <v>-</v>
      </c>
      <c r="AN138" s="82" t="str">
        <f t="shared" si="63"/>
        <v>-</v>
      </c>
      <c r="AO138" s="82" t="str">
        <f t="shared" si="64"/>
        <v>-</v>
      </c>
      <c r="AP138" s="57" t="str">
        <f t="shared" si="65"/>
        <v>-</v>
      </c>
      <c r="AQ138" s="86" t="str">
        <f t="shared" si="66"/>
        <v>-</v>
      </c>
      <c r="AR138" s="86" t="str">
        <f>IF(N138="","PRIMER_DIA en blanco",
IF(AND(M138="01",N138&gt;=L_Conversion!$C$118,N138&lt;=L_Conversion!$D$118),"-",
IF(AND(M138="02",N138&gt;=L_Conversion!$C$119,N138&lt;=L_Conversion!$D$119),"-",
IF(AND(M138="03",N138&gt;=L_Conversion!$C$120,N138&lt;=L_Conversion!$D$120),"-",
IF(AND(M138="04",N138&gt;=L_Conversion!$C$121,N138&lt;=L_Conversion!$D$121),"-",
IF(AND(M138="05",N138&gt;=L_Conversion!$C$122,N138&lt;=L_Conversion!$D$122),"-",
IF(AND(M138="06",N138&gt;=L_Conversion!$C$123,N138&lt;=L_Conversion!$D$123),"-",
IF(AND(M138="07",N138&gt;=L_Conversion!$C$124,N138&lt;=L_Conversion!$D$124),"-",
IF(AND(M138="08",N138&gt;=L_Conversion!$C$125,N138&lt;=L_Conversion!$D$125),"-",
IF(AND(M138="09",N138&gt;=L_Conversion!$C$126,N138&lt;=L_Conversion!$D$126),"-",
IF(AND(M138="10",N138&gt;=L_Conversion!$C$127,N138&lt;=L_Conversion!$D$127),"-",
IF(AND(M138="11",N138&gt;=L_Conversion!$C$128,N138&lt;=L_Conversion!$D$128),"-",
IF(AND(M138="12",N138&gt;=L_Conversion!$C$129,N138&lt;=L_Conversion!$D$129),"-",
IF(AND(M138="13",N138&gt;=L_Conversion!$C$116,N138&lt;=L_Conversion!$D$116),"-",
IF(AND(M138="14",N138&gt;=L_Conversion!$C$117,N138&lt;=L_Conversion!$D$117),"-",
"PRIMER_DIA fuera de rango")))))))))))))))</f>
        <v>-</v>
      </c>
      <c r="AS138" s="86" t="str">
        <f t="shared" si="67"/>
        <v>-</v>
      </c>
      <c r="AT138" s="86" t="str">
        <f t="shared" si="68"/>
        <v>-</v>
      </c>
      <c r="AU138" s="86" t="str">
        <f t="shared" si="69"/>
        <v>-</v>
      </c>
      <c r="AV138" s="86" t="str">
        <f t="shared" si="70"/>
        <v>-</v>
      </c>
      <c r="AW138" s="86" t="str">
        <f t="shared" si="71"/>
        <v>-</v>
      </c>
      <c r="AX138" s="86" t="str">
        <f t="shared" si="72"/>
        <v>-</v>
      </c>
      <c r="AY138" s="86" t="str">
        <f t="shared" si="73"/>
        <v>-</v>
      </c>
      <c r="AZ138" s="86" t="str">
        <f t="shared" si="74"/>
        <v>-</v>
      </c>
      <c r="BA138" s="86" t="str">
        <f t="shared" si="75"/>
        <v>-</v>
      </c>
      <c r="BB138" s="86" t="str">
        <f t="shared" si="76"/>
        <v>-</v>
      </c>
      <c r="BC138" s="86" t="str">
        <f t="shared" si="77"/>
        <v>-</v>
      </c>
      <c r="BD138" s="86" t="str">
        <f t="shared" si="78"/>
        <v>-</v>
      </c>
      <c r="BE138" s="86" t="str">
        <f t="shared" si="79"/>
        <v>-</v>
      </c>
      <c r="BF138" s="86" t="str">
        <f t="shared" si="80"/>
        <v>-</v>
      </c>
    </row>
    <row r="139" spans="1:58" x14ac:dyDescent="0.2">
      <c r="A139" s="80" t="s">
        <v>1144</v>
      </c>
      <c r="B139" s="92" t="s">
        <v>887</v>
      </c>
      <c r="C139" s="202">
        <v>14058800</v>
      </c>
      <c r="D139" s="203">
        <v>8</v>
      </c>
      <c r="E139" s="204" t="s">
        <v>1437</v>
      </c>
      <c r="F139" s="204" t="s">
        <v>1438</v>
      </c>
      <c r="G139" s="204" t="s">
        <v>1439</v>
      </c>
      <c r="H139" s="205" t="s">
        <v>1033</v>
      </c>
      <c r="I139" s="205" t="s">
        <v>662</v>
      </c>
      <c r="J139" s="203">
        <v>80</v>
      </c>
      <c r="K139" s="204" t="s">
        <v>563</v>
      </c>
      <c r="L139" s="206" t="s">
        <v>502</v>
      </c>
      <c r="M139" s="210" t="s">
        <v>21</v>
      </c>
      <c r="N139" s="211">
        <v>45691</v>
      </c>
      <c r="O139" s="207">
        <v>5</v>
      </c>
      <c r="P139" s="203">
        <v>1</v>
      </c>
      <c r="Q139" s="205" t="s">
        <v>23</v>
      </c>
      <c r="R139" s="205" t="s">
        <v>11</v>
      </c>
      <c r="S139" s="205" t="s">
        <v>23</v>
      </c>
      <c r="T139" s="207">
        <v>5</v>
      </c>
      <c r="U139" s="208" t="s">
        <v>11</v>
      </c>
      <c r="V139" s="212" t="s">
        <v>11</v>
      </c>
      <c r="W139" s="212" t="s">
        <v>19</v>
      </c>
      <c r="X139" s="209">
        <v>274490</v>
      </c>
      <c r="Y139" s="213" t="s">
        <v>735</v>
      </c>
      <c r="Z139" s="209">
        <v>5</v>
      </c>
      <c r="AA139" s="209">
        <v>274490</v>
      </c>
      <c r="AB139" s="209">
        <v>274490</v>
      </c>
      <c r="AC139" s="178" t="str">
        <f>IF(OR(M139="13",M139="14",P139=8),"",IF(AND(OR(S139="AUTORIZADO", S139="PENDIENTE", S139="REDUCIDO", S139="AMPLIADO"),L139&lt;&gt;"HONORARIO" ), CONCATENATE(IF(H139="X","H",H139),"_",IF(OR(P139=5,P139=6),_xlfn.CONCAT(P139,"A"),P139),"_",VLOOKUP(T139,Datos!$B$2:$C$5,2,TRUE)),""))</f>
        <v>M_1_[4 a 10]</v>
      </c>
      <c r="AD139" s="178">
        <f t="shared" si="54"/>
        <v>548980</v>
      </c>
      <c r="AE139" s="82" t="str">
        <f t="shared" si="55"/>
        <v>-</v>
      </c>
      <c r="AF139" s="83" t="str">
        <f t="shared" si="56"/>
        <v>070607</v>
      </c>
      <c r="AG139" s="84"/>
      <c r="AH139" s="85" t="str">
        <f t="shared" si="57"/>
        <v>Corporación de Fomento de la Producción</v>
      </c>
      <c r="AI139" s="82" t="str">
        <f t="shared" si="58"/>
        <v>-</v>
      </c>
      <c r="AJ139" s="82">
        <f t="shared" si="59"/>
        <v>8</v>
      </c>
      <c r="AK139" s="82" t="str">
        <f t="shared" si="60"/>
        <v>-</v>
      </c>
      <c r="AL139" s="82" t="str">
        <f t="shared" si="61"/>
        <v>Identifica este registro como MUJER</v>
      </c>
      <c r="AM139" s="82" t="str">
        <f t="shared" si="62"/>
        <v>-</v>
      </c>
      <c r="AN139" s="82" t="str">
        <f t="shared" si="63"/>
        <v>-</v>
      </c>
      <c r="AO139" s="82" t="str">
        <f t="shared" si="64"/>
        <v>-</v>
      </c>
      <c r="AP139" s="57" t="str">
        <f t="shared" si="65"/>
        <v>-</v>
      </c>
      <c r="AQ139" s="86" t="str">
        <f t="shared" si="66"/>
        <v>-</v>
      </c>
      <c r="AR139" s="86" t="str">
        <f>IF(N139="","PRIMER_DIA en blanco",
IF(AND(M139="01",N139&gt;=L_Conversion!$C$118,N139&lt;=L_Conversion!$D$118),"-",
IF(AND(M139="02",N139&gt;=L_Conversion!$C$119,N139&lt;=L_Conversion!$D$119),"-",
IF(AND(M139="03",N139&gt;=L_Conversion!$C$120,N139&lt;=L_Conversion!$D$120),"-",
IF(AND(M139="04",N139&gt;=L_Conversion!$C$121,N139&lt;=L_Conversion!$D$121),"-",
IF(AND(M139="05",N139&gt;=L_Conversion!$C$122,N139&lt;=L_Conversion!$D$122),"-",
IF(AND(M139="06",N139&gt;=L_Conversion!$C$123,N139&lt;=L_Conversion!$D$123),"-",
IF(AND(M139="07",N139&gt;=L_Conversion!$C$124,N139&lt;=L_Conversion!$D$124),"-",
IF(AND(M139="08",N139&gt;=L_Conversion!$C$125,N139&lt;=L_Conversion!$D$125),"-",
IF(AND(M139="09",N139&gt;=L_Conversion!$C$126,N139&lt;=L_Conversion!$D$126),"-",
IF(AND(M139="10",N139&gt;=L_Conversion!$C$127,N139&lt;=L_Conversion!$D$127),"-",
IF(AND(M139="11",N139&gt;=L_Conversion!$C$128,N139&lt;=L_Conversion!$D$128),"-",
IF(AND(M139="12",N139&gt;=L_Conversion!$C$129,N139&lt;=L_Conversion!$D$129),"-",
IF(AND(M139="13",N139&gt;=L_Conversion!$C$116,N139&lt;=L_Conversion!$D$116),"-",
IF(AND(M139="14",N139&gt;=L_Conversion!$C$117,N139&lt;=L_Conversion!$D$117),"-",
"PRIMER_DIA fuera de rango")))))))))))))))</f>
        <v>-</v>
      </c>
      <c r="AS139" s="86" t="str">
        <f t="shared" si="67"/>
        <v>-</v>
      </c>
      <c r="AT139" s="86" t="str">
        <f t="shared" si="68"/>
        <v>-</v>
      </c>
      <c r="AU139" s="86" t="str">
        <f t="shared" si="69"/>
        <v>-</v>
      </c>
      <c r="AV139" s="86" t="str">
        <f t="shared" si="70"/>
        <v>-</v>
      </c>
      <c r="AW139" s="86" t="str">
        <f t="shared" si="71"/>
        <v>-</v>
      </c>
      <c r="AX139" s="86" t="str">
        <f t="shared" si="72"/>
        <v>-</v>
      </c>
      <c r="AY139" s="86" t="str">
        <f t="shared" si="73"/>
        <v>-</v>
      </c>
      <c r="AZ139" s="86" t="str">
        <f t="shared" si="74"/>
        <v>-</v>
      </c>
      <c r="BA139" s="86" t="str">
        <f t="shared" si="75"/>
        <v>-</v>
      </c>
      <c r="BB139" s="86" t="str">
        <f t="shared" si="76"/>
        <v>-</v>
      </c>
      <c r="BC139" s="86" t="str">
        <f t="shared" si="77"/>
        <v>-</v>
      </c>
      <c r="BD139" s="86" t="str">
        <f t="shared" si="78"/>
        <v>-</v>
      </c>
      <c r="BE139" s="86" t="str">
        <f t="shared" si="79"/>
        <v>-</v>
      </c>
      <c r="BF139" s="86" t="str">
        <f t="shared" si="80"/>
        <v>-</v>
      </c>
    </row>
    <row r="140" spans="1:58" x14ac:dyDescent="0.2">
      <c r="A140" s="80" t="s">
        <v>1144</v>
      </c>
      <c r="B140" s="92" t="s">
        <v>76</v>
      </c>
      <c r="C140" s="202">
        <v>8961152</v>
      </c>
      <c r="D140" s="203">
        <v>0</v>
      </c>
      <c r="E140" s="204" t="s">
        <v>1440</v>
      </c>
      <c r="F140" s="204" t="s">
        <v>1441</v>
      </c>
      <c r="G140" s="204" t="s">
        <v>1184</v>
      </c>
      <c r="H140" s="205" t="s">
        <v>1033</v>
      </c>
      <c r="I140" s="205" t="s">
        <v>662</v>
      </c>
      <c r="J140" s="203">
        <v>80</v>
      </c>
      <c r="K140" s="204" t="s">
        <v>563</v>
      </c>
      <c r="L140" s="206" t="s">
        <v>502</v>
      </c>
      <c r="M140" s="210" t="s">
        <v>21</v>
      </c>
      <c r="N140" s="211">
        <v>45691</v>
      </c>
      <c r="O140" s="207">
        <v>12</v>
      </c>
      <c r="P140" s="203">
        <v>1</v>
      </c>
      <c r="Q140" s="205" t="s">
        <v>23</v>
      </c>
      <c r="R140" s="205" t="s">
        <v>11</v>
      </c>
      <c r="S140" s="205" t="s">
        <v>23</v>
      </c>
      <c r="T140" s="207">
        <v>12</v>
      </c>
      <c r="U140" s="208" t="s">
        <v>11</v>
      </c>
      <c r="V140" s="212" t="s">
        <v>11</v>
      </c>
      <c r="W140" s="212" t="s">
        <v>19</v>
      </c>
      <c r="X140" s="209">
        <v>1284133</v>
      </c>
      <c r="Y140" s="213" t="s">
        <v>735</v>
      </c>
      <c r="Z140" s="209">
        <v>12</v>
      </c>
      <c r="AA140" s="209">
        <v>1284133</v>
      </c>
      <c r="AB140" s="209">
        <v>1284133</v>
      </c>
      <c r="AC140" s="178" t="str">
        <f>IF(OR(M140="13",M140="14",P140=8),"",IF(AND(OR(S140="AUTORIZADO", S140="PENDIENTE", S140="REDUCIDO", S140="AMPLIADO"),L140&lt;&gt;"HONORARIO" ), CONCATENATE(IF(H140="X","H",H140),"_",IF(OR(P140=5,P140=6),_xlfn.CONCAT(P140,"A"),P140),"_",VLOOKUP(T140,Datos!$B$2:$C$5,2,TRUE)),""))</f>
        <v>M_1_[11 +]</v>
      </c>
      <c r="AD140" s="178">
        <f t="shared" si="54"/>
        <v>2568266</v>
      </c>
      <c r="AE140" s="82" t="str">
        <f t="shared" si="55"/>
        <v>-</v>
      </c>
      <c r="AF140" s="83" t="str">
        <f t="shared" si="56"/>
        <v>070601</v>
      </c>
      <c r="AG140" s="84"/>
      <c r="AH140" s="85" t="str">
        <f t="shared" si="57"/>
        <v>Corporación de Fomento de la Producción</v>
      </c>
      <c r="AI140" s="82" t="str">
        <f t="shared" si="58"/>
        <v>-</v>
      </c>
      <c r="AJ140" s="82">
        <f t="shared" si="59"/>
        <v>0</v>
      </c>
      <c r="AK140" s="82" t="str">
        <f t="shared" si="60"/>
        <v>-</v>
      </c>
      <c r="AL140" s="82" t="str">
        <f t="shared" si="61"/>
        <v>Identifica este registro como MUJER</v>
      </c>
      <c r="AM140" s="82" t="str">
        <f t="shared" si="62"/>
        <v>-</v>
      </c>
      <c r="AN140" s="82" t="str">
        <f t="shared" si="63"/>
        <v>-</v>
      </c>
      <c r="AO140" s="82" t="str">
        <f t="shared" si="64"/>
        <v>-</v>
      </c>
      <c r="AP140" s="57" t="str">
        <f t="shared" si="65"/>
        <v>-</v>
      </c>
      <c r="AQ140" s="86" t="str">
        <f t="shared" si="66"/>
        <v>-</v>
      </c>
      <c r="AR140" s="86" t="str">
        <f>IF(N140="","PRIMER_DIA en blanco",
IF(AND(M140="01",N140&gt;=L_Conversion!$C$118,N140&lt;=L_Conversion!$D$118),"-",
IF(AND(M140="02",N140&gt;=L_Conversion!$C$119,N140&lt;=L_Conversion!$D$119),"-",
IF(AND(M140="03",N140&gt;=L_Conversion!$C$120,N140&lt;=L_Conversion!$D$120),"-",
IF(AND(M140="04",N140&gt;=L_Conversion!$C$121,N140&lt;=L_Conversion!$D$121),"-",
IF(AND(M140="05",N140&gt;=L_Conversion!$C$122,N140&lt;=L_Conversion!$D$122),"-",
IF(AND(M140="06",N140&gt;=L_Conversion!$C$123,N140&lt;=L_Conversion!$D$123),"-",
IF(AND(M140="07",N140&gt;=L_Conversion!$C$124,N140&lt;=L_Conversion!$D$124),"-",
IF(AND(M140="08",N140&gt;=L_Conversion!$C$125,N140&lt;=L_Conversion!$D$125),"-",
IF(AND(M140="09",N140&gt;=L_Conversion!$C$126,N140&lt;=L_Conversion!$D$126),"-",
IF(AND(M140="10",N140&gt;=L_Conversion!$C$127,N140&lt;=L_Conversion!$D$127),"-",
IF(AND(M140="11",N140&gt;=L_Conversion!$C$128,N140&lt;=L_Conversion!$D$128),"-",
IF(AND(M140="12",N140&gt;=L_Conversion!$C$129,N140&lt;=L_Conversion!$D$129),"-",
IF(AND(M140="13",N140&gt;=L_Conversion!$C$116,N140&lt;=L_Conversion!$D$116),"-",
IF(AND(M140="14",N140&gt;=L_Conversion!$C$117,N140&lt;=L_Conversion!$D$117),"-",
"PRIMER_DIA fuera de rango")))))))))))))))</f>
        <v>-</v>
      </c>
      <c r="AS140" s="86" t="str">
        <f t="shared" si="67"/>
        <v>-</v>
      </c>
      <c r="AT140" s="86" t="str">
        <f t="shared" si="68"/>
        <v>-</v>
      </c>
      <c r="AU140" s="86" t="str">
        <f t="shared" si="69"/>
        <v>-</v>
      </c>
      <c r="AV140" s="86" t="str">
        <f t="shared" si="70"/>
        <v>-</v>
      </c>
      <c r="AW140" s="86" t="str">
        <f t="shared" si="71"/>
        <v>-</v>
      </c>
      <c r="AX140" s="86" t="str">
        <f t="shared" si="72"/>
        <v>-</v>
      </c>
      <c r="AY140" s="86" t="str">
        <f t="shared" si="73"/>
        <v>-</v>
      </c>
      <c r="AZ140" s="86" t="str">
        <f t="shared" si="74"/>
        <v>-</v>
      </c>
      <c r="BA140" s="86" t="str">
        <f t="shared" si="75"/>
        <v>-</v>
      </c>
      <c r="BB140" s="86" t="str">
        <f t="shared" si="76"/>
        <v>-</v>
      </c>
      <c r="BC140" s="86" t="str">
        <f t="shared" si="77"/>
        <v>-</v>
      </c>
      <c r="BD140" s="86" t="str">
        <f t="shared" si="78"/>
        <v>-</v>
      </c>
      <c r="BE140" s="86" t="str">
        <f t="shared" si="79"/>
        <v>-</v>
      </c>
      <c r="BF140" s="86" t="str">
        <f t="shared" si="80"/>
        <v>-</v>
      </c>
    </row>
    <row r="141" spans="1:58" x14ac:dyDescent="0.2">
      <c r="A141" s="80" t="s">
        <v>1144</v>
      </c>
      <c r="B141" s="92" t="s">
        <v>76</v>
      </c>
      <c r="C141" s="202">
        <v>11897179</v>
      </c>
      <c r="D141" s="203">
        <v>5</v>
      </c>
      <c r="E141" s="204" t="s">
        <v>1442</v>
      </c>
      <c r="F141" s="204" t="s">
        <v>1175</v>
      </c>
      <c r="G141" s="204" t="s">
        <v>1443</v>
      </c>
      <c r="H141" s="205" t="s">
        <v>1033</v>
      </c>
      <c r="I141" s="205" t="s">
        <v>662</v>
      </c>
      <c r="J141" s="203">
        <v>80</v>
      </c>
      <c r="K141" s="204" t="s">
        <v>567</v>
      </c>
      <c r="L141" s="206" t="s">
        <v>502</v>
      </c>
      <c r="M141" s="210" t="s">
        <v>21</v>
      </c>
      <c r="N141" s="211">
        <v>45691</v>
      </c>
      <c r="O141" s="207">
        <v>5</v>
      </c>
      <c r="P141" s="203">
        <v>1</v>
      </c>
      <c r="Q141" s="205" t="s">
        <v>23</v>
      </c>
      <c r="R141" s="205" t="s">
        <v>11</v>
      </c>
      <c r="S141" s="205" t="s">
        <v>23</v>
      </c>
      <c r="T141" s="207">
        <v>5</v>
      </c>
      <c r="U141" s="208" t="s">
        <v>11</v>
      </c>
      <c r="V141" s="212" t="s">
        <v>11</v>
      </c>
      <c r="W141" s="212" t="s">
        <v>19</v>
      </c>
      <c r="X141" s="209">
        <v>183756</v>
      </c>
      <c r="Y141" s="213" t="s">
        <v>735</v>
      </c>
      <c r="Z141" s="209">
        <v>5</v>
      </c>
      <c r="AA141" s="209">
        <v>183756</v>
      </c>
      <c r="AB141" s="209">
        <v>183756</v>
      </c>
      <c r="AC141" s="178" t="str">
        <f>IF(OR(M141="13",M141="14",P141=8),"",IF(AND(OR(S141="AUTORIZADO", S141="PENDIENTE", S141="REDUCIDO", S141="AMPLIADO"),L141&lt;&gt;"HONORARIO" ), CONCATENATE(IF(H141="X","H",H141),"_",IF(OR(P141=5,P141=6),_xlfn.CONCAT(P141,"A"),P141),"_",VLOOKUP(T141,Datos!$B$2:$C$5,2,TRUE)),""))</f>
        <v>M_1_[4 a 10]</v>
      </c>
      <c r="AD141" s="178">
        <f t="shared" si="54"/>
        <v>367512</v>
      </c>
      <c r="AE141" s="82" t="str">
        <f t="shared" si="55"/>
        <v>-</v>
      </c>
      <c r="AF141" s="83" t="str">
        <f t="shared" si="56"/>
        <v>070601</v>
      </c>
      <c r="AG141" s="84"/>
      <c r="AH141" s="85" t="str">
        <f t="shared" si="57"/>
        <v>Corporación de Fomento de la Producción</v>
      </c>
      <c r="AI141" s="82" t="str">
        <f t="shared" si="58"/>
        <v>-</v>
      </c>
      <c r="AJ141" s="82">
        <f t="shared" si="59"/>
        <v>5</v>
      </c>
      <c r="AK141" s="82" t="str">
        <f t="shared" si="60"/>
        <v>-</v>
      </c>
      <c r="AL141" s="82" t="str">
        <f t="shared" si="61"/>
        <v>Identifica este registro como MUJER</v>
      </c>
      <c r="AM141" s="82" t="str">
        <f t="shared" si="62"/>
        <v>-</v>
      </c>
      <c r="AN141" s="82" t="str">
        <f t="shared" si="63"/>
        <v>-</v>
      </c>
      <c r="AO141" s="82" t="str">
        <f t="shared" si="64"/>
        <v>-</v>
      </c>
      <c r="AP141" s="57" t="str">
        <f t="shared" si="65"/>
        <v>-</v>
      </c>
      <c r="AQ141" s="86" t="str">
        <f t="shared" si="66"/>
        <v>-</v>
      </c>
      <c r="AR141" s="86" t="str">
        <f>IF(N141="","PRIMER_DIA en blanco",
IF(AND(M141="01",N141&gt;=L_Conversion!$C$118,N141&lt;=L_Conversion!$D$118),"-",
IF(AND(M141="02",N141&gt;=L_Conversion!$C$119,N141&lt;=L_Conversion!$D$119),"-",
IF(AND(M141="03",N141&gt;=L_Conversion!$C$120,N141&lt;=L_Conversion!$D$120),"-",
IF(AND(M141="04",N141&gt;=L_Conversion!$C$121,N141&lt;=L_Conversion!$D$121),"-",
IF(AND(M141="05",N141&gt;=L_Conversion!$C$122,N141&lt;=L_Conversion!$D$122),"-",
IF(AND(M141="06",N141&gt;=L_Conversion!$C$123,N141&lt;=L_Conversion!$D$123),"-",
IF(AND(M141="07",N141&gt;=L_Conversion!$C$124,N141&lt;=L_Conversion!$D$124),"-",
IF(AND(M141="08",N141&gt;=L_Conversion!$C$125,N141&lt;=L_Conversion!$D$125),"-",
IF(AND(M141="09",N141&gt;=L_Conversion!$C$126,N141&lt;=L_Conversion!$D$126),"-",
IF(AND(M141="10",N141&gt;=L_Conversion!$C$127,N141&lt;=L_Conversion!$D$127),"-",
IF(AND(M141="11",N141&gt;=L_Conversion!$C$128,N141&lt;=L_Conversion!$D$128),"-",
IF(AND(M141="12",N141&gt;=L_Conversion!$C$129,N141&lt;=L_Conversion!$D$129),"-",
IF(AND(M141="13",N141&gt;=L_Conversion!$C$116,N141&lt;=L_Conversion!$D$116),"-",
IF(AND(M141="14",N141&gt;=L_Conversion!$C$117,N141&lt;=L_Conversion!$D$117),"-",
"PRIMER_DIA fuera de rango")))))))))))))))</f>
        <v>-</v>
      </c>
      <c r="AS141" s="86" t="str">
        <f t="shared" si="67"/>
        <v>-</v>
      </c>
      <c r="AT141" s="86" t="str">
        <f t="shared" si="68"/>
        <v>-</v>
      </c>
      <c r="AU141" s="86" t="str">
        <f t="shared" si="69"/>
        <v>-</v>
      </c>
      <c r="AV141" s="86" t="str">
        <f t="shared" si="70"/>
        <v>-</v>
      </c>
      <c r="AW141" s="86" t="str">
        <f t="shared" si="71"/>
        <v>-</v>
      </c>
      <c r="AX141" s="86" t="str">
        <f t="shared" si="72"/>
        <v>-</v>
      </c>
      <c r="AY141" s="86" t="str">
        <f t="shared" si="73"/>
        <v>-</v>
      </c>
      <c r="AZ141" s="86" t="str">
        <f t="shared" si="74"/>
        <v>-</v>
      </c>
      <c r="BA141" s="86" t="str">
        <f t="shared" si="75"/>
        <v>-</v>
      </c>
      <c r="BB141" s="86" t="str">
        <f t="shared" si="76"/>
        <v>-</v>
      </c>
      <c r="BC141" s="86" t="str">
        <f t="shared" si="77"/>
        <v>-</v>
      </c>
      <c r="BD141" s="86" t="str">
        <f t="shared" si="78"/>
        <v>-</v>
      </c>
      <c r="BE141" s="86" t="str">
        <f t="shared" si="79"/>
        <v>-</v>
      </c>
      <c r="BF141" s="86" t="str">
        <f t="shared" si="80"/>
        <v>-</v>
      </c>
    </row>
    <row r="142" spans="1:58" x14ac:dyDescent="0.2">
      <c r="A142" s="80" t="s">
        <v>1144</v>
      </c>
      <c r="B142" s="92" t="s">
        <v>76</v>
      </c>
      <c r="C142" s="202">
        <v>15349450</v>
      </c>
      <c r="D142" s="203">
        <v>9</v>
      </c>
      <c r="E142" s="204" t="s">
        <v>1444</v>
      </c>
      <c r="F142" s="204" t="s">
        <v>1445</v>
      </c>
      <c r="G142" s="204" t="s">
        <v>1446</v>
      </c>
      <c r="H142" s="205" t="s">
        <v>1033</v>
      </c>
      <c r="I142" s="205" t="s">
        <v>662</v>
      </c>
      <c r="J142" s="203">
        <v>80</v>
      </c>
      <c r="K142" s="204" t="s">
        <v>567</v>
      </c>
      <c r="L142" s="206" t="s">
        <v>502</v>
      </c>
      <c r="M142" s="210" t="s">
        <v>21</v>
      </c>
      <c r="N142" s="211">
        <v>45691</v>
      </c>
      <c r="O142" s="207">
        <v>5</v>
      </c>
      <c r="P142" s="203">
        <v>1</v>
      </c>
      <c r="Q142" s="205" t="s">
        <v>23</v>
      </c>
      <c r="R142" s="205" t="s">
        <v>11</v>
      </c>
      <c r="S142" s="205" t="s">
        <v>23</v>
      </c>
      <c r="T142" s="207">
        <v>5</v>
      </c>
      <c r="U142" s="208" t="s">
        <v>11</v>
      </c>
      <c r="V142" s="212" t="s">
        <v>11</v>
      </c>
      <c r="W142" s="212" t="s">
        <v>19</v>
      </c>
      <c r="X142" s="209">
        <v>101374</v>
      </c>
      <c r="Y142" s="213" t="s">
        <v>735</v>
      </c>
      <c r="Z142" s="209">
        <v>5</v>
      </c>
      <c r="AA142" s="209">
        <v>101374</v>
      </c>
      <c r="AB142" s="209">
        <v>101374</v>
      </c>
      <c r="AC142" s="178" t="str">
        <f>IF(OR(M142="13",M142="14",P142=8),"",IF(AND(OR(S142="AUTORIZADO", S142="PENDIENTE", S142="REDUCIDO", S142="AMPLIADO"),L142&lt;&gt;"HONORARIO" ), CONCATENATE(IF(H142="X","H",H142),"_",IF(OR(P142=5,P142=6),_xlfn.CONCAT(P142,"A"),P142),"_",VLOOKUP(T142,Datos!$B$2:$C$5,2,TRUE)),""))</f>
        <v>M_1_[4 a 10]</v>
      </c>
      <c r="AD142" s="178">
        <f t="shared" si="54"/>
        <v>202748</v>
      </c>
      <c r="AE142" s="82" t="str">
        <f t="shared" si="55"/>
        <v>-</v>
      </c>
      <c r="AF142" s="83" t="str">
        <f t="shared" si="56"/>
        <v>070601</v>
      </c>
      <c r="AG142" s="84"/>
      <c r="AH142" s="85" t="str">
        <f t="shared" si="57"/>
        <v>Corporación de Fomento de la Producción</v>
      </c>
      <c r="AI142" s="82" t="str">
        <f t="shared" si="58"/>
        <v>-</v>
      </c>
      <c r="AJ142" s="82">
        <f t="shared" si="59"/>
        <v>9</v>
      </c>
      <c r="AK142" s="82" t="str">
        <f t="shared" si="60"/>
        <v>-</v>
      </c>
      <c r="AL142" s="82" t="str">
        <f t="shared" si="61"/>
        <v>Identifica este registro como MUJER</v>
      </c>
      <c r="AM142" s="82" t="str">
        <f t="shared" si="62"/>
        <v>-</v>
      </c>
      <c r="AN142" s="82" t="str">
        <f t="shared" si="63"/>
        <v>-</v>
      </c>
      <c r="AO142" s="82" t="str">
        <f t="shared" si="64"/>
        <v>-</v>
      </c>
      <c r="AP142" s="57" t="str">
        <f t="shared" si="65"/>
        <v>-</v>
      </c>
      <c r="AQ142" s="86" t="str">
        <f t="shared" si="66"/>
        <v>-</v>
      </c>
      <c r="AR142" s="86" t="str">
        <f>IF(N142="","PRIMER_DIA en blanco",
IF(AND(M142="01",N142&gt;=L_Conversion!$C$118,N142&lt;=L_Conversion!$D$118),"-",
IF(AND(M142="02",N142&gt;=L_Conversion!$C$119,N142&lt;=L_Conversion!$D$119),"-",
IF(AND(M142="03",N142&gt;=L_Conversion!$C$120,N142&lt;=L_Conversion!$D$120),"-",
IF(AND(M142="04",N142&gt;=L_Conversion!$C$121,N142&lt;=L_Conversion!$D$121),"-",
IF(AND(M142="05",N142&gt;=L_Conversion!$C$122,N142&lt;=L_Conversion!$D$122),"-",
IF(AND(M142="06",N142&gt;=L_Conversion!$C$123,N142&lt;=L_Conversion!$D$123),"-",
IF(AND(M142="07",N142&gt;=L_Conversion!$C$124,N142&lt;=L_Conversion!$D$124),"-",
IF(AND(M142="08",N142&gt;=L_Conversion!$C$125,N142&lt;=L_Conversion!$D$125),"-",
IF(AND(M142="09",N142&gt;=L_Conversion!$C$126,N142&lt;=L_Conversion!$D$126),"-",
IF(AND(M142="10",N142&gt;=L_Conversion!$C$127,N142&lt;=L_Conversion!$D$127),"-",
IF(AND(M142="11",N142&gt;=L_Conversion!$C$128,N142&lt;=L_Conversion!$D$128),"-",
IF(AND(M142="12",N142&gt;=L_Conversion!$C$129,N142&lt;=L_Conversion!$D$129),"-",
IF(AND(M142="13",N142&gt;=L_Conversion!$C$116,N142&lt;=L_Conversion!$D$116),"-",
IF(AND(M142="14",N142&gt;=L_Conversion!$C$117,N142&lt;=L_Conversion!$D$117),"-",
"PRIMER_DIA fuera de rango")))))))))))))))</f>
        <v>-</v>
      </c>
      <c r="AS142" s="86" t="str">
        <f t="shared" si="67"/>
        <v>-</v>
      </c>
      <c r="AT142" s="86" t="str">
        <f t="shared" si="68"/>
        <v>-</v>
      </c>
      <c r="AU142" s="86" t="str">
        <f t="shared" si="69"/>
        <v>-</v>
      </c>
      <c r="AV142" s="86" t="str">
        <f t="shared" si="70"/>
        <v>-</v>
      </c>
      <c r="AW142" s="86" t="str">
        <f t="shared" si="71"/>
        <v>-</v>
      </c>
      <c r="AX142" s="86" t="str">
        <f t="shared" si="72"/>
        <v>-</v>
      </c>
      <c r="AY142" s="86" t="str">
        <f t="shared" si="73"/>
        <v>-</v>
      </c>
      <c r="AZ142" s="86" t="str">
        <f t="shared" si="74"/>
        <v>-</v>
      </c>
      <c r="BA142" s="86" t="str">
        <f t="shared" si="75"/>
        <v>-</v>
      </c>
      <c r="BB142" s="86" t="str">
        <f t="shared" si="76"/>
        <v>-</v>
      </c>
      <c r="BC142" s="86" t="str">
        <f t="shared" si="77"/>
        <v>-</v>
      </c>
      <c r="BD142" s="86" t="str">
        <f t="shared" si="78"/>
        <v>-</v>
      </c>
      <c r="BE142" s="86" t="str">
        <f t="shared" si="79"/>
        <v>-</v>
      </c>
      <c r="BF142" s="86" t="str">
        <f t="shared" si="80"/>
        <v>-</v>
      </c>
    </row>
    <row r="143" spans="1:58" x14ac:dyDescent="0.2">
      <c r="A143" s="80" t="s">
        <v>1144</v>
      </c>
      <c r="B143" s="92" t="s">
        <v>76</v>
      </c>
      <c r="C143" s="202">
        <v>8508131</v>
      </c>
      <c r="D143" s="203">
        <v>4</v>
      </c>
      <c r="E143" s="204" t="s">
        <v>1447</v>
      </c>
      <c r="F143" s="204" t="s">
        <v>1448</v>
      </c>
      <c r="G143" s="204" t="s">
        <v>1422</v>
      </c>
      <c r="H143" s="205" t="s">
        <v>1033</v>
      </c>
      <c r="I143" s="205" t="s">
        <v>662</v>
      </c>
      <c r="J143" s="203">
        <v>80</v>
      </c>
      <c r="K143" s="204" t="s">
        <v>561</v>
      </c>
      <c r="L143" s="206" t="s">
        <v>502</v>
      </c>
      <c r="M143" s="210" t="s">
        <v>21</v>
      </c>
      <c r="N143" s="211">
        <v>45692</v>
      </c>
      <c r="O143" s="207">
        <v>11</v>
      </c>
      <c r="P143" s="203">
        <v>2</v>
      </c>
      <c r="Q143" s="205" t="s">
        <v>23</v>
      </c>
      <c r="R143" s="205" t="s">
        <v>11</v>
      </c>
      <c r="S143" s="205" t="s">
        <v>23</v>
      </c>
      <c r="T143" s="207">
        <v>11</v>
      </c>
      <c r="U143" s="208" t="s">
        <v>11</v>
      </c>
      <c r="V143" s="212" t="s">
        <v>11</v>
      </c>
      <c r="W143" s="212" t="s">
        <v>19</v>
      </c>
      <c r="X143" s="209">
        <v>1151768</v>
      </c>
      <c r="Y143" s="213" t="s">
        <v>735</v>
      </c>
      <c r="Z143" s="209">
        <v>11</v>
      </c>
      <c r="AA143" s="209">
        <v>1151768</v>
      </c>
      <c r="AB143" s="209">
        <v>1151768</v>
      </c>
      <c r="AC143" s="178" t="str">
        <f>IF(OR(M143="13",M143="14",P143=8),"",IF(AND(OR(S143="AUTORIZADO", S143="PENDIENTE", S143="REDUCIDO", S143="AMPLIADO"),L143&lt;&gt;"HONORARIO" ), CONCATENATE(IF(H143="X","H",H143),"_",IF(OR(P143=5,P143=6),_xlfn.CONCAT(P143,"A"),P143),"_",VLOOKUP(T143,Datos!$B$2:$C$5,2,TRUE)),""))</f>
        <v>M_2_[11 +]</v>
      </c>
      <c r="AD143" s="178">
        <f t="shared" si="54"/>
        <v>2303536</v>
      </c>
      <c r="AE143" s="82" t="str">
        <f t="shared" si="55"/>
        <v>-</v>
      </c>
      <c r="AF143" s="83" t="str">
        <f t="shared" si="56"/>
        <v>070601</v>
      </c>
      <c r="AG143" s="84"/>
      <c r="AH143" s="85" t="str">
        <f t="shared" si="57"/>
        <v>Corporación de Fomento de la Producción</v>
      </c>
      <c r="AI143" s="82" t="str">
        <f t="shared" si="58"/>
        <v>-</v>
      </c>
      <c r="AJ143" s="82">
        <f t="shared" si="59"/>
        <v>4</v>
      </c>
      <c r="AK143" s="82" t="str">
        <f t="shared" si="60"/>
        <v>-</v>
      </c>
      <c r="AL143" s="82" t="str">
        <f t="shared" si="61"/>
        <v>Identifica este registro como MUJER</v>
      </c>
      <c r="AM143" s="82" t="str">
        <f t="shared" si="62"/>
        <v>-</v>
      </c>
      <c r="AN143" s="82" t="str">
        <f t="shared" si="63"/>
        <v>-</v>
      </c>
      <c r="AO143" s="82" t="str">
        <f t="shared" si="64"/>
        <v>-</v>
      </c>
      <c r="AP143" s="57" t="str">
        <f t="shared" si="65"/>
        <v>-</v>
      </c>
      <c r="AQ143" s="86" t="str">
        <f t="shared" si="66"/>
        <v>-</v>
      </c>
      <c r="AR143" s="86" t="str">
        <f>IF(N143="","PRIMER_DIA en blanco",
IF(AND(M143="01",N143&gt;=L_Conversion!$C$118,N143&lt;=L_Conversion!$D$118),"-",
IF(AND(M143="02",N143&gt;=L_Conversion!$C$119,N143&lt;=L_Conversion!$D$119),"-",
IF(AND(M143="03",N143&gt;=L_Conversion!$C$120,N143&lt;=L_Conversion!$D$120),"-",
IF(AND(M143="04",N143&gt;=L_Conversion!$C$121,N143&lt;=L_Conversion!$D$121),"-",
IF(AND(M143="05",N143&gt;=L_Conversion!$C$122,N143&lt;=L_Conversion!$D$122),"-",
IF(AND(M143="06",N143&gt;=L_Conversion!$C$123,N143&lt;=L_Conversion!$D$123),"-",
IF(AND(M143="07",N143&gt;=L_Conversion!$C$124,N143&lt;=L_Conversion!$D$124),"-",
IF(AND(M143="08",N143&gt;=L_Conversion!$C$125,N143&lt;=L_Conversion!$D$125),"-",
IF(AND(M143="09",N143&gt;=L_Conversion!$C$126,N143&lt;=L_Conversion!$D$126),"-",
IF(AND(M143="10",N143&gt;=L_Conversion!$C$127,N143&lt;=L_Conversion!$D$127),"-",
IF(AND(M143="11",N143&gt;=L_Conversion!$C$128,N143&lt;=L_Conversion!$D$128),"-",
IF(AND(M143="12",N143&gt;=L_Conversion!$C$129,N143&lt;=L_Conversion!$D$129),"-",
IF(AND(M143="13",N143&gt;=L_Conversion!$C$116,N143&lt;=L_Conversion!$D$116),"-",
IF(AND(M143="14",N143&gt;=L_Conversion!$C$117,N143&lt;=L_Conversion!$D$117),"-",
"PRIMER_DIA fuera de rango")))))))))))))))</f>
        <v>-</v>
      </c>
      <c r="AS143" s="86" t="str">
        <f t="shared" si="67"/>
        <v>-</v>
      </c>
      <c r="AT143" s="86" t="str">
        <f t="shared" si="68"/>
        <v>-</v>
      </c>
      <c r="AU143" s="86" t="str">
        <f t="shared" si="69"/>
        <v>-</v>
      </c>
      <c r="AV143" s="86" t="str">
        <f t="shared" si="70"/>
        <v>-</v>
      </c>
      <c r="AW143" s="86" t="str">
        <f t="shared" si="71"/>
        <v>-</v>
      </c>
      <c r="AX143" s="86" t="str">
        <f t="shared" si="72"/>
        <v>-</v>
      </c>
      <c r="AY143" s="86" t="str">
        <f t="shared" si="73"/>
        <v>-</v>
      </c>
      <c r="AZ143" s="86" t="str">
        <f t="shared" si="74"/>
        <v>-</v>
      </c>
      <c r="BA143" s="86" t="str">
        <f t="shared" si="75"/>
        <v>-</v>
      </c>
      <c r="BB143" s="86" t="str">
        <f t="shared" si="76"/>
        <v>-</v>
      </c>
      <c r="BC143" s="86" t="str">
        <f t="shared" si="77"/>
        <v>-</v>
      </c>
      <c r="BD143" s="86" t="str">
        <f t="shared" si="78"/>
        <v>-</v>
      </c>
      <c r="BE143" s="86" t="str">
        <f t="shared" si="79"/>
        <v>-</v>
      </c>
      <c r="BF143" s="86" t="str">
        <f t="shared" si="80"/>
        <v>-</v>
      </c>
    </row>
    <row r="144" spans="1:58" x14ac:dyDescent="0.2">
      <c r="A144" s="80" t="s">
        <v>1144</v>
      </c>
      <c r="B144" s="92" t="s">
        <v>76</v>
      </c>
      <c r="C144" s="202">
        <v>16471282</v>
      </c>
      <c r="D144" s="203">
        <v>6</v>
      </c>
      <c r="E144" s="204" t="s">
        <v>1449</v>
      </c>
      <c r="F144" s="204" t="s">
        <v>1450</v>
      </c>
      <c r="G144" s="204" t="s">
        <v>1451</v>
      </c>
      <c r="H144" s="205" t="s">
        <v>1033</v>
      </c>
      <c r="I144" s="205" t="s">
        <v>662</v>
      </c>
      <c r="J144" s="203">
        <v>80</v>
      </c>
      <c r="K144" s="204" t="s">
        <v>563</v>
      </c>
      <c r="L144" s="206" t="s">
        <v>502</v>
      </c>
      <c r="M144" s="210" t="s">
        <v>21</v>
      </c>
      <c r="N144" s="211">
        <v>45692</v>
      </c>
      <c r="O144" s="207">
        <v>4</v>
      </c>
      <c r="P144" s="203">
        <v>1</v>
      </c>
      <c r="Q144" s="205" t="s">
        <v>23</v>
      </c>
      <c r="R144" s="205" t="s">
        <v>11</v>
      </c>
      <c r="S144" s="205" t="s">
        <v>23</v>
      </c>
      <c r="T144" s="207">
        <v>4</v>
      </c>
      <c r="U144" s="208" t="s">
        <v>11</v>
      </c>
      <c r="V144" s="212" t="s">
        <v>11</v>
      </c>
      <c r="W144" s="212" t="s">
        <v>19</v>
      </c>
      <c r="X144" s="209">
        <v>167028</v>
      </c>
      <c r="Y144" s="213" t="s">
        <v>735</v>
      </c>
      <c r="Z144" s="209">
        <v>4</v>
      </c>
      <c r="AA144" s="209">
        <v>167028</v>
      </c>
      <c r="AB144" s="209">
        <v>167028</v>
      </c>
      <c r="AC144" s="178" t="str">
        <f>IF(OR(M144="13",M144="14",P144=8),"",IF(AND(OR(S144="AUTORIZADO", S144="PENDIENTE", S144="REDUCIDO", S144="AMPLIADO"),L144&lt;&gt;"HONORARIO" ), CONCATENATE(IF(H144="X","H",H144),"_",IF(OR(P144=5,P144=6),_xlfn.CONCAT(P144,"A"),P144),"_",VLOOKUP(T144,Datos!$B$2:$C$5,2,TRUE)),""))</f>
        <v>M_1_[4 a 10]</v>
      </c>
      <c r="AD144" s="178">
        <f t="shared" si="54"/>
        <v>334056</v>
      </c>
      <c r="AE144" s="82" t="str">
        <f t="shared" si="55"/>
        <v>-</v>
      </c>
      <c r="AF144" s="83" t="str">
        <f t="shared" si="56"/>
        <v>070601</v>
      </c>
      <c r="AG144" s="84"/>
      <c r="AH144" s="85" t="str">
        <f t="shared" si="57"/>
        <v>Corporación de Fomento de la Producción</v>
      </c>
      <c r="AI144" s="82" t="str">
        <f t="shared" si="58"/>
        <v>-</v>
      </c>
      <c r="AJ144" s="82">
        <f t="shared" si="59"/>
        <v>6</v>
      </c>
      <c r="AK144" s="82" t="str">
        <f t="shared" si="60"/>
        <v>-</v>
      </c>
      <c r="AL144" s="82" t="str">
        <f t="shared" si="61"/>
        <v>Identifica este registro como MUJER</v>
      </c>
      <c r="AM144" s="82" t="str">
        <f t="shared" si="62"/>
        <v>-</v>
      </c>
      <c r="AN144" s="82" t="str">
        <f t="shared" si="63"/>
        <v>-</v>
      </c>
      <c r="AO144" s="82" t="str">
        <f t="shared" si="64"/>
        <v>-</v>
      </c>
      <c r="AP144" s="57" t="str">
        <f t="shared" si="65"/>
        <v>-</v>
      </c>
      <c r="AQ144" s="86" t="str">
        <f t="shared" si="66"/>
        <v>-</v>
      </c>
      <c r="AR144" s="86" t="str">
        <f>IF(N144="","PRIMER_DIA en blanco",
IF(AND(M144="01",N144&gt;=L_Conversion!$C$118,N144&lt;=L_Conversion!$D$118),"-",
IF(AND(M144="02",N144&gt;=L_Conversion!$C$119,N144&lt;=L_Conversion!$D$119),"-",
IF(AND(M144="03",N144&gt;=L_Conversion!$C$120,N144&lt;=L_Conversion!$D$120),"-",
IF(AND(M144="04",N144&gt;=L_Conversion!$C$121,N144&lt;=L_Conversion!$D$121),"-",
IF(AND(M144="05",N144&gt;=L_Conversion!$C$122,N144&lt;=L_Conversion!$D$122),"-",
IF(AND(M144="06",N144&gt;=L_Conversion!$C$123,N144&lt;=L_Conversion!$D$123),"-",
IF(AND(M144="07",N144&gt;=L_Conversion!$C$124,N144&lt;=L_Conversion!$D$124),"-",
IF(AND(M144="08",N144&gt;=L_Conversion!$C$125,N144&lt;=L_Conversion!$D$125),"-",
IF(AND(M144="09",N144&gt;=L_Conversion!$C$126,N144&lt;=L_Conversion!$D$126),"-",
IF(AND(M144="10",N144&gt;=L_Conversion!$C$127,N144&lt;=L_Conversion!$D$127),"-",
IF(AND(M144="11",N144&gt;=L_Conversion!$C$128,N144&lt;=L_Conversion!$D$128),"-",
IF(AND(M144="12",N144&gt;=L_Conversion!$C$129,N144&lt;=L_Conversion!$D$129),"-",
IF(AND(M144="13",N144&gt;=L_Conversion!$C$116,N144&lt;=L_Conversion!$D$116),"-",
IF(AND(M144="14",N144&gt;=L_Conversion!$C$117,N144&lt;=L_Conversion!$D$117),"-",
"PRIMER_DIA fuera de rango")))))))))))))))</f>
        <v>-</v>
      </c>
      <c r="AS144" s="86" t="str">
        <f t="shared" si="67"/>
        <v>-</v>
      </c>
      <c r="AT144" s="86" t="str">
        <f t="shared" si="68"/>
        <v>-</v>
      </c>
      <c r="AU144" s="86" t="str">
        <f t="shared" si="69"/>
        <v>-</v>
      </c>
      <c r="AV144" s="86" t="str">
        <f t="shared" si="70"/>
        <v>-</v>
      </c>
      <c r="AW144" s="86" t="str">
        <f t="shared" si="71"/>
        <v>-</v>
      </c>
      <c r="AX144" s="86" t="str">
        <f t="shared" si="72"/>
        <v>-</v>
      </c>
      <c r="AY144" s="86" t="str">
        <f t="shared" si="73"/>
        <v>-</v>
      </c>
      <c r="AZ144" s="86" t="str">
        <f t="shared" si="74"/>
        <v>-</v>
      </c>
      <c r="BA144" s="86" t="str">
        <f t="shared" si="75"/>
        <v>-</v>
      </c>
      <c r="BB144" s="86" t="str">
        <f t="shared" si="76"/>
        <v>-</v>
      </c>
      <c r="BC144" s="86" t="str">
        <f t="shared" si="77"/>
        <v>-</v>
      </c>
      <c r="BD144" s="86" t="str">
        <f t="shared" si="78"/>
        <v>-</v>
      </c>
      <c r="BE144" s="86" t="str">
        <f t="shared" si="79"/>
        <v>-</v>
      </c>
      <c r="BF144" s="86" t="str">
        <f t="shared" si="80"/>
        <v>-</v>
      </c>
    </row>
    <row r="145" spans="1:58" x14ac:dyDescent="0.2">
      <c r="A145" s="80" t="s">
        <v>1144</v>
      </c>
      <c r="B145" s="92" t="s">
        <v>1274</v>
      </c>
      <c r="C145" s="202">
        <v>10629824</v>
      </c>
      <c r="D145" s="203">
        <v>6</v>
      </c>
      <c r="E145" s="204" t="s">
        <v>1149</v>
      </c>
      <c r="F145" s="204" t="s">
        <v>1312</v>
      </c>
      <c r="G145" s="204" t="s">
        <v>1313</v>
      </c>
      <c r="H145" s="205" t="s">
        <v>1033</v>
      </c>
      <c r="I145" s="205" t="s">
        <v>663</v>
      </c>
      <c r="J145" s="203">
        <v>80</v>
      </c>
      <c r="K145" s="204" t="s">
        <v>563</v>
      </c>
      <c r="L145" s="206" t="s">
        <v>516</v>
      </c>
      <c r="M145" s="210" t="s">
        <v>21</v>
      </c>
      <c r="N145" s="211">
        <v>45692</v>
      </c>
      <c r="O145" s="207">
        <v>15</v>
      </c>
      <c r="P145" s="203">
        <v>1</v>
      </c>
      <c r="Q145" s="205" t="s">
        <v>23</v>
      </c>
      <c r="R145" s="205" t="s">
        <v>11</v>
      </c>
      <c r="S145" s="205" t="s">
        <v>23</v>
      </c>
      <c r="T145" s="207">
        <v>15</v>
      </c>
      <c r="U145" s="208" t="s">
        <v>11</v>
      </c>
      <c r="V145" s="212" t="s">
        <v>11</v>
      </c>
      <c r="W145" s="212" t="s">
        <v>19</v>
      </c>
      <c r="X145" s="209">
        <v>1380772</v>
      </c>
      <c r="Y145" s="213" t="s">
        <v>735</v>
      </c>
      <c r="Z145" s="209">
        <v>15</v>
      </c>
      <c r="AA145" s="209">
        <v>1380772</v>
      </c>
      <c r="AB145" s="209">
        <v>1380772</v>
      </c>
      <c r="AC145" s="178" t="str">
        <f>IF(OR(M145="13",M145="14",P145=8),"",IF(AND(OR(S145="AUTORIZADO", S145="PENDIENTE", S145="REDUCIDO", S145="AMPLIADO"),L145&lt;&gt;"HONORARIO" ), CONCATENATE(IF(H145="X","H",H145),"_",IF(OR(P145=5,P145=6),_xlfn.CONCAT(P145,"A"),P145),"_",VLOOKUP(T145,Datos!$B$2:$C$5,2,TRUE)),""))</f>
        <v>M_1_[11 +]</v>
      </c>
      <c r="AD145" s="178">
        <f t="shared" si="54"/>
        <v>2761544</v>
      </c>
      <c r="AE145" s="82" t="str">
        <f t="shared" si="55"/>
        <v>-</v>
      </c>
      <c r="AF145" s="83" t="str">
        <f t="shared" si="56"/>
        <v>Revisar</v>
      </c>
      <c r="AG145" s="84"/>
      <c r="AH145" s="85" t="str">
        <f t="shared" si="57"/>
        <v>Corregir código servicio</v>
      </c>
      <c r="AI145" s="82" t="str">
        <f t="shared" si="58"/>
        <v>-</v>
      </c>
      <c r="AJ145" s="82">
        <f t="shared" si="59"/>
        <v>6</v>
      </c>
      <c r="AK145" s="82" t="str">
        <f t="shared" si="60"/>
        <v>-</v>
      </c>
      <c r="AL145" s="82" t="str">
        <f t="shared" si="61"/>
        <v>Identifica este registro como MUJER</v>
      </c>
      <c r="AM145" s="82" t="str">
        <f t="shared" si="62"/>
        <v>-</v>
      </c>
      <c r="AN145" s="82" t="str">
        <f t="shared" si="63"/>
        <v>-</v>
      </c>
      <c r="AO145" s="82" t="str">
        <f t="shared" si="64"/>
        <v>-</v>
      </c>
      <c r="AP145" s="57" t="str">
        <f t="shared" si="65"/>
        <v>-</v>
      </c>
      <c r="AQ145" s="86" t="str">
        <f t="shared" si="66"/>
        <v>-</v>
      </c>
      <c r="AR145" s="86" t="str">
        <f>IF(N145="","PRIMER_DIA en blanco",
IF(AND(M145="01",N145&gt;=L_Conversion!$C$118,N145&lt;=L_Conversion!$D$118),"-",
IF(AND(M145="02",N145&gt;=L_Conversion!$C$119,N145&lt;=L_Conversion!$D$119),"-",
IF(AND(M145="03",N145&gt;=L_Conversion!$C$120,N145&lt;=L_Conversion!$D$120),"-",
IF(AND(M145="04",N145&gt;=L_Conversion!$C$121,N145&lt;=L_Conversion!$D$121),"-",
IF(AND(M145="05",N145&gt;=L_Conversion!$C$122,N145&lt;=L_Conversion!$D$122),"-",
IF(AND(M145="06",N145&gt;=L_Conversion!$C$123,N145&lt;=L_Conversion!$D$123),"-",
IF(AND(M145="07",N145&gt;=L_Conversion!$C$124,N145&lt;=L_Conversion!$D$124),"-",
IF(AND(M145="08",N145&gt;=L_Conversion!$C$125,N145&lt;=L_Conversion!$D$125),"-",
IF(AND(M145="09",N145&gt;=L_Conversion!$C$126,N145&lt;=L_Conversion!$D$126),"-",
IF(AND(M145="10",N145&gt;=L_Conversion!$C$127,N145&lt;=L_Conversion!$D$127),"-",
IF(AND(M145="11",N145&gt;=L_Conversion!$C$128,N145&lt;=L_Conversion!$D$128),"-",
IF(AND(M145="12",N145&gt;=L_Conversion!$C$129,N145&lt;=L_Conversion!$D$129),"-",
IF(AND(M145="13",N145&gt;=L_Conversion!$C$116,N145&lt;=L_Conversion!$D$116),"-",
IF(AND(M145="14",N145&gt;=L_Conversion!$C$117,N145&lt;=L_Conversion!$D$117),"-",
"PRIMER_DIA fuera de rango")))))))))))))))</f>
        <v>-</v>
      </c>
      <c r="AS145" s="86" t="str">
        <f t="shared" si="67"/>
        <v>-</v>
      </c>
      <c r="AT145" s="86" t="str">
        <f t="shared" si="68"/>
        <v>-</v>
      </c>
      <c r="AU145" s="86" t="str">
        <f t="shared" si="69"/>
        <v>-</v>
      </c>
      <c r="AV145" s="86" t="str">
        <f t="shared" si="70"/>
        <v>-</v>
      </c>
      <c r="AW145" s="86" t="str">
        <f t="shared" si="71"/>
        <v>-</v>
      </c>
      <c r="AX145" s="86" t="str">
        <f t="shared" si="72"/>
        <v>-</v>
      </c>
      <c r="AY145" s="86" t="str">
        <f t="shared" si="73"/>
        <v>-</v>
      </c>
      <c r="AZ145" s="86" t="str">
        <f t="shared" si="74"/>
        <v>-</v>
      </c>
      <c r="BA145" s="86" t="str">
        <f t="shared" si="75"/>
        <v>-</v>
      </c>
      <c r="BB145" s="86" t="str">
        <f t="shared" si="76"/>
        <v>-</v>
      </c>
      <c r="BC145" s="86" t="str">
        <f t="shared" si="77"/>
        <v>-</v>
      </c>
      <c r="BD145" s="86" t="str">
        <f t="shared" si="78"/>
        <v>-</v>
      </c>
      <c r="BE145" s="86" t="str">
        <f t="shared" si="79"/>
        <v>-</v>
      </c>
      <c r="BF145" s="86" t="str">
        <f t="shared" si="80"/>
        <v>-</v>
      </c>
    </row>
    <row r="146" spans="1:58" x14ac:dyDescent="0.2">
      <c r="A146" s="80" t="s">
        <v>1144</v>
      </c>
      <c r="B146" s="92" t="s">
        <v>76</v>
      </c>
      <c r="C146" s="202">
        <v>10102555</v>
      </c>
      <c r="D146" s="203">
        <v>1</v>
      </c>
      <c r="E146" s="204" t="s">
        <v>1145</v>
      </c>
      <c r="F146" s="204" t="s">
        <v>1452</v>
      </c>
      <c r="G146" s="204" t="s">
        <v>1453</v>
      </c>
      <c r="H146" s="205" t="s">
        <v>1033</v>
      </c>
      <c r="I146" s="205" t="s">
        <v>662</v>
      </c>
      <c r="J146" s="203">
        <v>60</v>
      </c>
      <c r="K146" s="204" t="s">
        <v>567</v>
      </c>
      <c r="L146" s="206" t="s">
        <v>497</v>
      </c>
      <c r="M146" s="210" t="s">
        <v>21</v>
      </c>
      <c r="N146" s="211">
        <v>45692</v>
      </c>
      <c r="O146" s="207">
        <v>15</v>
      </c>
      <c r="P146" s="203">
        <v>1</v>
      </c>
      <c r="Q146" s="205" t="s">
        <v>23</v>
      </c>
      <c r="R146" s="205" t="s">
        <v>11</v>
      </c>
      <c r="S146" s="205" t="s">
        <v>23</v>
      </c>
      <c r="T146" s="207">
        <v>15</v>
      </c>
      <c r="U146" s="208" t="s">
        <v>11</v>
      </c>
      <c r="V146" s="212" t="s">
        <v>11</v>
      </c>
      <c r="W146" s="212" t="s">
        <v>19</v>
      </c>
      <c r="X146" s="209">
        <v>947857</v>
      </c>
      <c r="Y146" s="213" t="s">
        <v>735</v>
      </c>
      <c r="Z146" s="209">
        <v>15</v>
      </c>
      <c r="AA146" s="209">
        <v>947857</v>
      </c>
      <c r="AB146" s="209">
        <v>947857</v>
      </c>
      <c r="AC146" s="178" t="str">
        <f>IF(OR(M146="13",M146="14",P146=8),"",IF(AND(OR(S146="AUTORIZADO", S146="PENDIENTE", S146="REDUCIDO", S146="AMPLIADO"),L146&lt;&gt;"HONORARIO" ), CONCATENATE(IF(H146="X","H",H146),"_",IF(OR(P146=5,P146=6),_xlfn.CONCAT(P146,"A"),P146),"_",VLOOKUP(T146,Datos!$B$2:$C$5,2,TRUE)),""))</f>
        <v>M_1_[11 +]</v>
      </c>
      <c r="AD146" s="178">
        <f t="shared" si="54"/>
        <v>1895714</v>
      </c>
      <c r="AE146" s="82" t="str">
        <f t="shared" si="55"/>
        <v>-</v>
      </c>
      <c r="AF146" s="83" t="str">
        <f t="shared" si="56"/>
        <v>070601</v>
      </c>
      <c r="AG146" s="84"/>
      <c r="AH146" s="85" t="str">
        <f t="shared" si="57"/>
        <v>Corporación de Fomento de la Producción</v>
      </c>
      <c r="AI146" s="82" t="str">
        <f t="shared" si="58"/>
        <v>-</v>
      </c>
      <c r="AJ146" s="82">
        <f t="shared" si="59"/>
        <v>1</v>
      </c>
      <c r="AK146" s="82" t="str">
        <f t="shared" si="60"/>
        <v>-</v>
      </c>
      <c r="AL146" s="82" t="str">
        <f t="shared" si="61"/>
        <v>Identifica este registro como MUJER</v>
      </c>
      <c r="AM146" s="82" t="str">
        <f t="shared" si="62"/>
        <v>-</v>
      </c>
      <c r="AN146" s="82" t="str">
        <f t="shared" si="63"/>
        <v>-</v>
      </c>
      <c r="AO146" s="82" t="str">
        <f t="shared" si="64"/>
        <v>-</v>
      </c>
      <c r="AP146" s="57" t="str">
        <f t="shared" si="65"/>
        <v>-</v>
      </c>
      <c r="AQ146" s="86" t="str">
        <f t="shared" si="66"/>
        <v>-</v>
      </c>
      <c r="AR146" s="86" t="str">
        <f>IF(N146="","PRIMER_DIA en blanco",
IF(AND(M146="01",N146&gt;=L_Conversion!$C$118,N146&lt;=L_Conversion!$D$118),"-",
IF(AND(M146="02",N146&gt;=L_Conversion!$C$119,N146&lt;=L_Conversion!$D$119),"-",
IF(AND(M146="03",N146&gt;=L_Conversion!$C$120,N146&lt;=L_Conversion!$D$120),"-",
IF(AND(M146="04",N146&gt;=L_Conversion!$C$121,N146&lt;=L_Conversion!$D$121),"-",
IF(AND(M146="05",N146&gt;=L_Conversion!$C$122,N146&lt;=L_Conversion!$D$122),"-",
IF(AND(M146="06",N146&gt;=L_Conversion!$C$123,N146&lt;=L_Conversion!$D$123),"-",
IF(AND(M146="07",N146&gt;=L_Conversion!$C$124,N146&lt;=L_Conversion!$D$124),"-",
IF(AND(M146="08",N146&gt;=L_Conversion!$C$125,N146&lt;=L_Conversion!$D$125),"-",
IF(AND(M146="09",N146&gt;=L_Conversion!$C$126,N146&lt;=L_Conversion!$D$126),"-",
IF(AND(M146="10",N146&gt;=L_Conversion!$C$127,N146&lt;=L_Conversion!$D$127),"-",
IF(AND(M146="11",N146&gt;=L_Conversion!$C$128,N146&lt;=L_Conversion!$D$128),"-",
IF(AND(M146="12",N146&gt;=L_Conversion!$C$129,N146&lt;=L_Conversion!$D$129),"-",
IF(AND(M146="13",N146&gt;=L_Conversion!$C$116,N146&lt;=L_Conversion!$D$116),"-",
IF(AND(M146="14",N146&gt;=L_Conversion!$C$117,N146&lt;=L_Conversion!$D$117),"-",
"PRIMER_DIA fuera de rango")))))))))))))))</f>
        <v>-</v>
      </c>
      <c r="AS146" s="86" t="str">
        <f t="shared" si="67"/>
        <v>-</v>
      </c>
      <c r="AT146" s="86" t="str">
        <f t="shared" si="68"/>
        <v>-</v>
      </c>
      <c r="AU146" s="86" t="str">
        <f t="shared" si="69"/>
        <v>-</v>
      </c>
      <c r="AV146" s="86" t="str">
        <f t="shared" si="70"/>
        <v>-</v>
      </c>
      <c r="AW146" s="86" t="str">
        <f t="shared" si="71"/>
        <v>-</v>
      </c>
      <c r="AX146" s="86" t="str">
        <f t="shared" si="72"/>
        <v>-</v>
      </c>
      <c r="AY146" s="86" t="str">
        <f t="shared" si="73"/>
        <v>-</v>
      </c>
      <c r="AZ146" s="86" t="str">
        <f t="shared" si="74"/>
        <v>-</v>
      </c>
      <c r="BA146" s="86" t="str">
        <f t="shared" si="75"/>
        <v>-</v>
      </c>
      <c r="BB146" s="86" t="str">
        <f t="shared" si="76"/>
        <v>-</v>
      </c>
      <c r="BC146" s="86" t="str">
        <f t="shared" si="77"/>
        <v>-</v>
      </c>
      <c r="BD146" s="86" t="str">
        <f t="shared" si="78"/>
        <v>-</v>
      </c>
      <c r="BE146" s="86" t="str">
        <f t="shared" si="79"/>
        <v>-</v>
      </c>
      <c r="BF146" s="86" t="str">
        <f t="shared" si="80"/>
        <v>-</v>
      </c>
    </row>
    <row r="147" spans="1:58" x14ac:dyDescent="0.2">
      <c r="A147" s="80" t="s">
        <v>1144</v>
      </c>
      <c r="B147" s="92" t="s">
        <v>76</v>
      </c>
      <c r="C147" s="202">
        <v>14191188</v>
      </c>
      <c r="D147" s="203">
        <v>0</v>
      </c>
      <c r="E147" s="204" t="s">
        <v>1454</v>
      </c>
      <c r="F147" s="204" t="s">
        <v>1455</v>
      </c>
      <c r="G147" s="204" t="s">
        <v>1456</v>
      </c>
      <c r="H147" s="205" t="s">
        <v>1033</v>
      </c>
      <c r="I147" s="205" t="s">
        <v>662</v>
      </c>
      <c r="J147" s="203">
        <v>80</v>
      </c>
      <c r="K147" s="204" t="s">
        <v>563</v>
      </c>
      <c r="L147" s="206" t="s">
        <v>502</v>
      </c>
      <c r="M147" s="210" t="s">
        <v>21</v>
      </c>
      <c r="N147" s="211">
        <v>45693</v>
      </c>
      <c r="O147" s="207">
        <v>2</v>
      </c>
      <c r="P147" s="203">
        <v>1</v>
      </c>
      <c r="Q147" s="205" t="s">
        <v>23</v>
      </c>
      <c r="R147" s="205" t="s">
        <v>11</v>
      </c>
      <c r="S147" s="205" t="s">
        <v>23</v>
      </c>
      <c r="T147" s="207">
        <v>2</v>
      </c>
      <c r="U147" s="208" t="s">
        <v>11</v>
      </c>
      <c r="V147" s="212" t="s">
        <v>19</v>
      </c>
      <c r="W147" s="212" t="s">
        <v>19</v>
      </c>
      <c r="X147" s="209">
        <v>41601</v>
      </c>
      <c r="Y147" s="213" t="s">
        <v>735</v>
      </c>
      <c r="Z147" s="209">
        <v>2</v>
      </c>
      <c r="AA147" s="209">
        <v>41601</v>
      </c>
      <c r="AB147" s="209">
        <v>41601</v>
      </c>
      <c r="AC147" s="178" t="str">
        <f>IF(OR(M147="13",M147="14",P147=8),"",IF(AND(OR(S147="AUTORIZADO", S147="PENDIENTE", S147="REDUCIDO", S147="AMPLIADO"),L147&lt;&gt;"HONORARIO" ), CONCATENATE(IF(H147="X","H",H147),"_",IF(OR(P147=5,P147=6),_xlfn.CONCAT(P147,"A"),P147),"_",VLOOKUP(T147,Datos!$B$2:$C$5,2,TRUE)),""))</f>
        <v>M_1_[hasta 3]</v>
      </c>
      <c r="AD147" s="178">
        <f t="shared" si="54"/>
        <v>83202</v>
      </c>
      <c r="AE147" s="82" t="str">
        <f t="shared" si="55"/>
        <v>-</v>
      </c>
      <c r="AF147" s="83" t="str">
        <f t="shared" si="56"/>
        <v>070601</v>
      </c>
      <c r="AG147" s="84"/>
      <c r="AH147" s="85" t="str">
        <f t="shared" si="57"/>
        <v>Corporación de Fomento de la Producción</v>
      </c>
      <c r="AI147" s="82" t="str">
        <f t="shared" si="58"/>
        <v>-</v>
      </c>
      <c r="AJ147" s="82">
        <f t="shared" si="59"/>
        <v>0</v>
      </c>
      <c r="AK147" s="82" t="str">
        <f t="shared" si="60"/>
        <v>-</v>
      </c>
      <c r="AL147" s="82" t="str">
        <f t="shared" si="61"/>
        <v>Identifica este registro como MUJER</v>
      </c>
      <c r="AM147" s="82" t="str">
        <f t="shared" si="62"/>
        <v>-</v>
      </c>
      <c r="AN147" s="82" t="str">
        <f t="shared" si="63"/>
        <v>-</v>
      </c>
      <c r="AO147" s="82" t="str">
        <f t="shared" si="64"/>
        <v>-</v>
      </c>
      <c r="AP147" s="57" t="str">
        <f t="shared" si="65"/>
        <v>-</v>
      </c>
      <c r="AQ147" s="86" t="str">
        <f t="shared" si="66"/>
        <v>-</v>
      </c>
      <c r="AR147" s="86" t="str">
        <f>IF(N147="","PRIMER_DIA en blanco",
IF(AND(M147="01",N147&gt;=L_Conversion!$C$118,N147&lt;=L_Conversion!$D$118),"-",
IF(AND(M147="02",N147&gt;=L_Conversion!$C$119,N147&lt;=L_Conversion!$D$119),"-",
IF(AND(M147="03",N147&gt;=L_Conversion!$C$120,N147&lt;=L_Conversion!$D$120),"-",
IF(AND(M147="04",N147&gt;=L_Conversion!$C$121,N147&lt;=L_Conversion!$D$121),"-",
IF(AND(M147="05",N147&gt;=L_Conversion!$C$122,N147&lt;=L_Conversion!$D$122),"-",
IF(AND(M147="06",N147&gt;=L_Conversion!$C$123,N147&lt;=L_Conversion!$D$123),"-",
IF(AND(M147="07",N147&gt;=L_Conversion!$C$124,N147&lt;=L_Conversion!$D$124),"-",
IF(AND(M147="08",N147&gt;=L_Conversion!$C$125,N147&lt;=L_Conversion!$D$125),"-",
IF(AND(M147="09",N147&gt;=L_Conversion!$C$126,N147&lt;=L_Conversion!$D$126),"-",
IF(AND(M147="10",N147&gt;=L_Conversion!$C$127,N147&lt;=L_Conversion!$D$127),"-",
IF(AND(M147="11",N147&gt;=L_Conversion!$C$128,N147&lt;=L_Conversion!$D$128),"-",
IF(AND(M147="12",N147&gt;=L_Conversion!$C$129,N147&lt;=L_Conversion!$D$129),"-",
IF(AND(M147="13",N147&gt;=L_Conversion!$C$116,N147&lt;=L_Conversion!$D$116),"-",
IF(AND(M147="14",N147&gt;=L_Conversion!$C$117,N147&lt;=L_Conversion!$D$117),"-",
"PRIMER_DIA fuera de rango")))))))))))))))</f>
        <v>-</v>
      </c>
      <c r="AS147" s="86" t="str">
        <f t="shared" si="67"/>
        <v>-</v>
      </c>
      <c r="AT147" s="86" t="str">
        <f t="shared" si="68"/>
        <v>-</v>
      </c>
      <c r="AU147" s="86" t="str">
        <f t="shared" si="69"/>
        <v>-</v>
      </c>
      <c r="AV147" s="86" t="str">
        <f t="shared" si="70"/>
        <v>-</v>
      </c>
      <c r="AW147" s="86" t="str">
        <f t="shared" si="71"/>
        <v>-</v>
      </c>
      <c r="AX147" s="86" t="str">
        <f t="shared" si="72"/>
        <v>-</v>
      </c>
      <c r="AY147" s="86" t="str">
        <f t="shared" si="73"/>
        <v>-</v>
      </c>
      <c r="AZ147" s="86" t="str">
        <f t="shared" si="74"/>
        <v>-</v>
      </c>
      <c r="BA147" s="86" t="str">
        <f t="shared" si="75"/>
        <v>-</v>
      </c>
      <c r="BB147" s="86" t="str">
        <f t="shared" si="76"/>
        <v>-</v>
      </c>
      <c r="BC147" s="86" t="str">
        <f t="shared" si="77"/>
        <v>-</v>
      </c>
      <c r="BD147" s="86" t="str">
        <f t="shared" si="78"/>
        <v>-</v>
      </c>
      <c r="BE147" s="86" t="str">
        <f t="shared" si="79"/>
        <v>-</v>
      </c>
      <c r="BF147" s="86" t="str">
        <f t="shared" si="80"/>
        <v>-</v>
      </c>
    </row>
    <row r="148" spans="1:58" x14ac:dyDescent="0.2">
      <c r="A148" s="80" t="s">
        <v>1144</v>
      </c>
      <c r="B148" s="92" t="s">
        <v>76</v>
      </c>
      <c r="C148" s="202">
        <v>16339293</v>
      </c>
      <c r="D148" s="203">
        <v>3</v>
      </c>
      <c r="E148" s="204" t="s">
        <v>1149</v>
      </c>
      <c r="F148" s="204" t="s">
        <v>1457</v>
      </c>
      <c r="G148" s="204" t="s">
        <v>1458</v>
      </c>
      <c r="H148" s="205" t="s">
        <v>663</v>
      </c>
      <c r="I148" s="205" t="s">
        <v>663</v>
      </c>
      <c r="J148" s="203">
        <v>80</v>
      </c>
      <c r="K148" s="204" t="s">
        <v>563</v>
      </c>
      <c r="L148" s="206" t="s">
        <v>516</v>
      </c>
      <c r="M148" s="210" t="s">
        <v>21</v>
      </c>
      <c r="N148" s="211">
        <v>45693</v>
      </c>
      <c r="O148" s="207">
        <v>15</v>
      </c>
      <c r="P148" s="203">
        <v>1</v>
      </c>
      <c r="Q148" s="205" t="s">
        <v>23</v>
      </c>
      <c r="R148" s="205" t="s">
        <v>11</v>
      </c>
      <c r="S148" s="205" t="s">
        <v>23</v>
      </c>
      <c r="T148" s="207">
        <v>15</v>
      </c>
      <c r="U148" s="208" t="s">
        <v>11</v>
      </c>
      <c r="V148" s="212" t="s">
        <v>11</v>
      </c>
      <c r="W148" s="212" t="s">
        <v>19</v>
      </c>
      <c r="X148" s="209">
        <v>1563823</v>
      </c>
      <c r="Y148" s="213" t="s">
        <v>735</v>
      </c>
      <c r="Z148" s="209">
        <v>15</v>
      </c>
      <c r="AA148" s="209">
        <v>1563823</v>
      </c>
      <c r="AB148" s="209">
        <v>1563823</v>
      </c>
      <c r="AC148" s="178" t="str">
        <f>IF(OR(M148="13",M148="14",P148=8),"",IF(AND(OR(S148="AUTORIZADO", S148="PENDIENTE", S148="REDUCIDO", S148="AMPLIADO"),L148&lt;&gt;"HONORARIO" ), CONCATENATE(IF(H148="X","H",H148),"_",IF(OR(P148=5,P148=6),_xlfn.CONCAT(P148,"A"),P148),"_",VLOOKUP(T148,Datos!$B$2:$C$5,2,TRUE)),""))</f>
        <v>H_1_[11 +]</v>
      </c>
      <c r="AD148" s="178">
        <f t="shared" si="54"/>
        <v>3127646</v>
      </c>
      <c r="AE148" s="82" t="str">
        <f t="shared" si="55"/>
        <v>-</v>
      </c>
      <c r="AF148" s="83" t="str">
        <f t="shared" si="56"/>
        <v>070601</v>
      </c>
      <c r="AG148" s="84"/>
      <c r="AH148" s="85" t="str">
        <f t="shared" si="57"/>
        <v>Corporación de Fomento de la Producción</v>
      </c>
      <c r="AI148" s="82" t="str">
        <f t="shared" si="58"/>
        <v>-</v>
      </c>
      <c r="AJ148" s="82">
        <f t="shared" si="59"/>
        <v>3</v>
      </c>
      <c r="AK148" s="82" t="str">
        <f t="shared" si="60"/>
        <v>-</v>
      </c>
      <c r="AL148" s="82" t="str">
        <f t="shared" si="61"/>
        <v>Identifica este registro como HOMBRE</v>
      </c>
      <c r="AM148" s="82" t="str">
        <f t="shared" si="62"/>
        <v>-</v>
      </c>
      <c r="AN148" s="82" t="str">
        <f t="shared" si="63"/>
        <v>-</v>
      </c>
      <c r="AO148" s="82" t="str">
        <f t="shared" si="64"/>
        <v>-</v>
      </c>
      <c r="AP148" s="57" t="str">
        <f t="shared" si="65"/>
        <v>-</v>
      </c>
      <c r="AQ148" s="86" t="str">
        <f t="shared" si="66"/>
        <v>-</v>
      </c>
      <c r="AR148" s="86" t="str">
        <f>IF(N148="","PRIMER_DIA en blanco",
IF(AND(M148="01",N148&gt;=L_Conversion!$C$118,N148&lt;=L_Conversion!$D$118),"-",
IF(AND(M148="02",N148&gt;=L_Conversion!$C$119,N148&lt;=L_Conversion!$D$119),"-",
IF(AND(M148="03",N148&gt;=L_Conversion!$C$120,N148&lt;=L_Conversion!$D$120),"-",
IF(AND(M148="04",N148&gt;=L_Conversion!$C$121,N148&lt;=L_Conversion!$D$121),"-",
IF(AND(M148="05",N148&gt;=L_Conversion!$C$122,N148&lt;=L_Conversion!$D$122),"-",
IF(AND(M148="06",N148&gt;=L_Conversion!$C$123,N148&lt;=L_Conversion!$D$123),"-",
IF(AND(M148="07",N148&gt;=L_Conversion!$C$124,N148&lt;=L_Conversion!$D$124),"-",
IF(AND(M148="08",N148&gt;=L_Conversion!$C$125,N148&lt;=L_Conversion!$D$125),"-",
IF(AND(M148="09",N148&gt;=L_Conversion!$C$126,N148&lt;=L_Conversion!$D$126),"-",
IF(AND(M148="10",N148&gt;=L_Conversion!$C$127,N148&lt;=L_Conversion!$D$127),"-",
IF(AND(M148="11",N148&gt;=L_Conversion!$C$128,N148&lt;=L_Conversion!$D$128),"-",
IF(AND(M148="12",N148&gt;=L_Conversion!$C$129,N148&lt;=L_Conversion!$D$129),"-",
IF(AND(M148="13",N148&gt;=L_Conversion!$C$116,N148&lt;=L_Conversion!$D$116),"-",
IF(AND(M148="14",N148&gt;=L_Conversion!$C$117,N148&lt;=L_Conversion!$D$117),"-",
"PRIMER_DIA fuera de rango")))))))))))))))</f>
        <v>-</v>
      </c>
      <c r="AS148" s="86" t="str">
        <f t="shared" si="67"/>
        <v>-</v>
      </c>
      <c r="AT148" s="86" t="str">
        <f t="shared" si="68"/>
        <v>-</v>
      </c>
      <c r="AU148" s="86" t="str">
        <f t="shared" si="69"/>
        <v>-</v>
      </c>
      <c r="AV148" s="86" t="str">
        <f t="shared" si="70"/>
        <v>-</v>
      </c>
      <c r="AW148" s="86" t="str">
        <f t="shared" si="71"/>
        <v>-</v>
      </c>
      <c r="AX148" s="86" t="str">
        <f t="shared" si="72"/>
        <v>-</v>
      </c>
      <c r="AY148" s="86" t="str">
        <f t="shared" si="73"/>
        <v>-</v>
      </c>
      <c r="AZ148" s="86" t="str">
        <f t="shared" si="74"/>
        <v>-</v>
      </c>
      <c r="BA148" s="86" t="str">
        <f t="shared" si="75"/>
        <v>-</v>
      </c>
      <c r="BB148" s="86" t="str">
        <f t="shared" si="76"/>
        <v>-</v>
      </c>
      <c r="BC148" s="86" t="str">
        <f t="shared" si="77"/>
        <v>-</v>
      </c>
      <c r="BD148" s="86" t="str">
        <f t="shared" si="78"/>
        <v>-</v>
      </c>
      <c r="BE148" s="86" t="str">
        <f t="shared" si="79"/>
        <v>-</v>
      </c>
      <c r="BF148" s="86" t="str">
        <f t="shared" si="80"/>
        <v>-</v>
      </c>
    </row>
    <row r="149" spans="1:58" x14ac:dyDescent="0.2">
      <c r="A149" s="80" t="s">
        <v>1144</v>
      </c>
      <c r="B149" s="92" t="s">
        <v>76</v>
      </c>
      <c r="C149" s="202">
        <v>15375340</v>
      </c>
      <c r="D149" s="203">
        <v>7</v>
      </c>
      <c r="E149" s="204" t="s">
        <v>1241</v>
      </c>
      <c r="F149" s="204" t="s">
        <v>1242</v>
      </c>
      <c r="G149" s="204" t="s">
        <v>1243</v>
      </c>
      <c r="H149" s="205" t="s">
        <v>1033</v>
      </c>
      <c r="I149" s="205" t="s">
        <v>662</v>
      </c>
      <c r="J149" s="203">
        <v>80</v>
      </c>
      <c r="K149" s="204" t="s">
        <v>563</v>
      </c>
      <c r="L149" s="206" t="s">
        <v>502</v>
      </c>
      <c r="M149" s="210" t="s">
        <v>21</v>
      </c>
      <c r="N149" s="211">
        <v>45693</v>
      </c>
      <c r="O149" s="207">
        <v>22</v>
      </c>
      <c r="P149" s="203">
        <v>1</v>
      </c>
      <c r="Q149" s="205" t="s">
        <v>23</v>
      </c>
      <c r="R149" s="205" t="s">
        <v>11</v>
      </c>
      <c r="S149" s="205" t="s">
        <v>23</v>
      </c>
      <c r="T149" s="207">
        <v>22</v>
      </c>
      <c r="U149" s="208" t="s">
        <v>11</v>
      </c>
      <c r="V149" s="212" t="s">
        <v>11</v>
      </c>
      <c r="W149" s="212" t="s">
        <v>19</v>
      </c>
      <c r="X149" s="209">
        <v>695226</v>
      </c>
      <c r="Y149" s="213" t="s">
        <v>735</v>
      </c>
      <c r="Z149" s="209">
        <v>22</v>
      </c>
      <c r="AA149" s="209">
        <v>695226</v>
      </c>
      <c r="AB149" s="209">
        <v>695226</v>
      </c>
      <c r="AC149" s="178" t="str">
        <f>IF(OR(M149="13",M149="14",P149=8),"",IF(AND(OR(S149="AUTORIZADO", S149="PENDIENTE", S149="REDUCIDO", S149="AMPLIADO"),L149&lt;&gt;"HONORARIO" ), CONCATENATE(IF(H149="X","H",H149),"_",IF(OR(P149=5,P149=6),_xlfn.CONCAT(P149,"A"),P149),"_",VLOOKUP(T149,Datos!$B$2:$C$5,2,TRUE)),""))</f>
        <v>M_1_[11 +]</v>
      </c>
      <c r="AD149" s="178">
        <f t="shared" si="54"/>
        <v>1390452</v>
      </c>
      <c r="AE149" s="82" t="str">
        <f t="shared" si="55"/>
        <v>-</v>
      </c>
      <c r="AF149" s="83" t="str">
        <f t="shared" si="56"/>
        <v>070601</v>
      </c>
      <c r="AG149" s="84"/>
      <c r="AH149" s="85" t="str">
        <f t="shared" si="57"/>
        <v>Corporación de Fomento de la Producción</v>
      </c>
      <c r="AI149" s="82" t="str">
        <f t="shared" si="58"/>
        <v>-</v>
      </c>
      <c r="AJ149" s="82">
        <f t="shared" si="59"/>
        <v>7</v>
      </c>
      <c r="AK149" s="82" t="str">
        <f t="shared" si="60"/>
        <v>-</v>
      </c>
      <c r="AL149" s="82" t="str">
        <f t="shared" si="61"/>
        <v>Identifica este registro como MUJER</v>
      </c>
      <c r="AM149" s="82" t="str">
        <f t="shared" si="62"/>
        <v>-</v>
      </c>
      <c r="AN149" s="82" t="str">
        <f t="shared" si="63"/>
        <v>-</v>
      </c>
      <c r="AO149" s="82" t="str">
        <f t="shared" si="64"/>
        <v>-</v>
      </c>
      <c r="AP149" s="57" t="str">
        <f t="shared" si="65"/>
        <v>-</v>
      </c>
      <c r="AQ149" s="86" t="str">
        <f t="shared" si="66"/>
        <v>-</v>
      </c>
      <c r="AR149" s="86" t="str">
        <f>IF(N149="","PRIMER_DIA en blanco",
IF(AND(M149="01",N149&gt;=L_Conversion!$C$118,N149&lt;=L_Conversion!$D$118),"-",
IF(AND(M149="02",N149&gt;=L_Conversion!$C$119,N149&lt;=L_Conversion!$D$119),"-",
IF(AND(M149="03",N149&gt;=L_Conversion!$C$120,N149&lt;=L_Conversion!$D$120),"-",
IF(AND(M149="04",N149&gt;=L_Conversion!$C$121,N149&lt;=L_Conversion!$D$121),"-",
IF(AND(M149="05",N149&gt;=L_Conversion!$C$122,N149&lt;=L_Conversion!$D$122),"-",
IF(AND(M149="06",N149&gt;=L_Conversion!$C$123,N149&lt;=L_Conversion!$D$123),"-",
IF(AND(M149="07",N149&gt;=L_Conversion!$C$124,N149&lt;=L_Conversion!$D$124),"-",
IF(AND(M149="08",N149&gt;=L_Conversion!$C$125,N149&lt;=L_Conversion!$D$125),"-",
IF(AND(M149="09",N149&gt;=L_Conversion!$C$126,N149&lt;=L_Conversion!$D$126),"-",
IF(AND(M149="10",N149&gt;=L_Conversion!$C$127,N149&lt;=L_Conversion!$D$127),"-",
IF(AND(M149="11",N149&gt;=L_Conversion!$C$128,N149&lt;=L_Conversion!$D$128),"-",
IF(AND(M149="12",N149&gt;=L_Conversion!$C$129,N149&lt;=L_Conversion!$D$129),"-",
IF(AND(M149="13",N149&gt;=L_Conversion!$C$116,N149&lt;=L_Conversion!$D$116),"-",
IF(AND(M149="14",N149&gt;=L_Conversion!$C$117,N149&lt;=L_Conversion!$D$117),"-",
"PRIMER_DIA fuera de rango")))))))))))))))</f>
        <v>-</v>
      </c>
      <c r="AS149" s="86" t="str">
        <f t="shared" si="67"/>
        <v>-</v>
      </c>
      <c r="AT149" s="86" t="str">
        <f t="shared" si="68"/>
        <v>-</v>
      </c>
      <c r="AU149" s="86" t="str">
        <f t="shared" si="69"/>
        <v>-</v>
      </c>
      <c r="AV149" s="86" t="str">
        <f t="shared" si="70"/>
        <v>-</v>
      </c>
      <c r="AW149" s="86" t="str">
        <f t="shared" si="71"/>
        <v>-</v>
      </c>
      <c r="AX149" s="86" t="str">
        <f t="shared" si="72"/>
        <v>-</v>
      </c>
      <c r="AY149" s="86" t="str">
        <f t="shared" si="73"/>
        <v>-</v>
      </c>
      <c r="AZ149" s="86" t="str">
        <f t="shared" si="74"/>
        <v>-</v>
      </c>
      <c r="BA149" s="86" t="str">
        <f t="shared" si="75"/>
        <v>-</v>
      </c>
      <c r="BB149" s="86" t="str">
        <f t="shared" si="76"/>
        <v>-</v>
      </c>
      <c r="BC149" s="86" t="str">
        <f t="shared" si="77"/>
        <v>-</v>
      </c>
      <c r="BD149" s="86" t="str">
        <f t="shared" si="78"/>
        <v>-</v>
      </c>
      <c r="BE149" s="86" t="str">
        <f t="shared" si="79"/>
        <v>-</v>
      </c>
      <c r="BF149" s="86" t="str">
        <f t="shared" si="80"/>
        <v>-</v>
      </c>
    </row>
    <row r="150" spans="1:58" x14ac:dyDescent="0.2">
      <c r="A150" s="80" t="s">
        <v>1144</v>
      </c>
      <c r="B150" s="92" t="s">
        <v>1252</v>
      </c>
      <c r="C150" s="202">
        <v>17072798</v>
      </c>
      <c r="D150" s="203">
        <v>3</v>
      </c>
      <c r="E150" s="204" t="s">
        <v>1253</v>
      </c>
      <c r="F150" s="204" t="s">
        <v>1224</v>
      </c>
      <c r="G150" s="204" t="s">
        <v>1254</v>
      </c>
      <c r="H150" s="205" t="s">
        <v>663</v>
      </c>
      <c r="I150" s="205" t="s">
        <v>663</v>
      </c>
      <c r="J150" s="203">
        <v>80</v>
      </c>
      <c r="K150" s="204" t="s">
        <v>563</v>
      </c>
      <c r="L150" s="206" t="s">
        <v>516</v>
      </c>
      <c r="M150" s="210" t="s">
        <v>21</v>
      </c>
      <c r="N150" s="211">
        <v>45693</v>
      </c>
      <c r="O150" s="207">
        <v>30</v>
      </c>
      <c r="P150" s="203">
        <v>1</v>
      </c>
      <c r="Q150" s="205" t="s">
        <v>23</v>
      </c>
      <c r="R150" s="205" t="s">
        <v>11</v>
      </c>
      <c r="S150" s="205" t="s">
        <v>23</v>
      </c>
      <c r="T150" s="207">
        <v>30</v>
      </c>
      <c r="U150" s="208" t="s">
        <v>11</v>
      </c>
      <c r="V150" s="212" t="s">
        <v>11</v>
      </c>
      <c r="W150" s="212" t="s">
        <v>19</v>
      </c>
      <c r="X150" s="209">
        <v>2028107</v>
      </c>
      <c r="Y150" s="213" t="s">
        <v>735</v>
      </c>
      <c r="Z150" s="209">
        <v>30</v>
      </c>
      <c r="AA150" s="209">
        <v>2028107</v>
      </c>
      <c r="AB150" s="209">
        <v>2028107</v>
      </c>
      <c r="AC150" s="178" t="str">
        <f>IF(OR(M150="13",M150="14",P150=8),"",IF(AND(OR(S150="AUTORIZADO", S150="PENDIENTE", S150="REDUCIDO", S150="AMPLIADO"),L150&lt;&gt;"HONORARIO" ), CONCATENATE(IF(H150="X","H",H150),"_",IF(OR(P150=5,P150=6),_xlfn.CONCAT(P150,"A"),P150),"_",VLOOKUP(T150,Datos!$B$2:$C$5,2,TRUE)),""))</f>
        <v>H_1_[11 +]</v>
      </c>
      <c r="AD150" s="178">
        <f t="shared" si="54"/>
        <v>4056214</v>
      </c>
      <c r="AE150" s="82" t="str">
        <f t="shared" si="55"/>
        <v>-</v>
      </c>
      <c r="AF150" s="83" t="str">
        <f t="shared" si="56"/>
        <v>Revisar</v>
      </c>
      <c r="AG150" s="84"/>
      <c r="AH150" s="85" t="str">
        <f t="shared" si="57"/>
        <v>Corregir código servicio</v>
      </c>
      <c r="AI150" s="82" t="str">
        <f t="shared" si="58"/>
        <v>-</v>
      </c>
      <c r="AJ150" s="82">
        <f t="shared" si="59"/>
        <v>3</v>
      </c>
      <c r="AK150" s="82" t="str">
        <f t="shared" si="60"/>
        <v>-</v>
      </c>
      <c r="AL150" s="82" t="str">
        <f t="shared" si="61"/>
        <v>Identifica este registro como HOMBRE</v>
      </c>
      <c r="AM150" s="82" t="str">
        <f t="shared" si="62"/>
        <v>-</v>
      </c>
      <c r="AN150" s="82" t="str">
        <f t="shared" si="63"/>
        <v>-</v>
      </c>
      <c r="AO150" s="82" t="str">
        <f t="shared" si="64"/>
        <v>-</v>
      </c>
      <c r="AP150" s="57" t="str">
        <f t="shared" si="65"/>
        <v>-</v>
      </c>
      <c r="AQ150" s="86" t="str">
        <f t="shared" si="66"/>
        <v>-</v>
      </c>
      <c r="AR150" s="86" t="str">
        <f>IF(N150="","PRIMER_DIA en blanco",
IF(AND(M150="01",N150&gt;=L_Conversion!$C$118,N150&lt;=L_Conversion!$D$118),"-",
IF(AND(M150="02",N150&gt;=L_Conversion!$C$119,N150&lt;=L_Conversion!$D$119),"-",
IF(AND(M150="03",N150&gt;=L_Conversion!$C$120,N150&lt;=L_Conversion!$D$120),"-",
IF(AND(M150="04",N150&gt;=L_Conversion!$C$121,N150&lt;=L_Conversion!$D$121),"-",
IF(AND(M150="05",N150&gt;=L_Conversion!$C$122,N150&lt;=L_Conversion!$D$122),"-",
IF(AND(M150="06",N150&gt;=L_Conversion!$C$123,N150&lt;=L_Conversion!$D$123),"-",
IF(AND(M150="07",N150&gt;=L_Conversion!$C$124,N150&lt;=L_Conversion!$D$124),"-",
IF(AND(M150="08",N150&gt;=L_Conversion!$C$125,N150&lt;=L_Conversion!$D$125),"-",
IF(AND(M150="09",N150&gt;=L_Conversion!$C$126,N150&lt;=L_Conversion!$D$126),"-",
IF(AND(M150="10",N150&gt;=L_Conversion!$C$127,N150&lt;=L_Conversion!$D$127),"-",
IF(AND(M150="11",N150&gt;=L_Conversion!$C$128,N150&lt;=L_Conversion!$D$128),"-",
IF(AND(M150="12",N150&gt;=L_Conversion!$C$129,N150&lt;=L_Conversion!$D$129),"-",
IF(AND(M150="13",N150&gt;=L_Conversion!$C$116,N150&lt;=L_Conversion!$D$116),"-",
IF(AND(M150="14",N150&gt;=L_Conversion!$C$117,N150&lt;=L_Conversion!$D$117),"-",
"PRIMER_DIA fuera de rango")))))))))))))))</f>
        <v>-</v>
      </c>
      <c r="AS150" s="86" t="str">
        <f t="shared" si="67"/>
        <v>-</v>
      </c>
      <c r="AT150" s="86" t="str">
        <f t="shared" si="68"/>
        <v>-</v>
      </c>
      <c r="AU150" s="86" t="str">
        <f t="shared" si="69"/>
        <v>-</v>
      </c>
      <c r="AV150" s="86" t="str">
        <f t="shared" si="70"/>
        <v>-</v>
      </c>
      <c r="AW150" s="86" t="str">
        <f t="shared" si="71"/>
        <v>-</v>
      </c>
      <c r="AX150" s="86" t="str">
        <f t="shared" si="72"/>
        <v>-</v>
      </c>
      <c r="AY150" s="86" t="str">
        <f t="shared" si="73"/>
        <v>-</v>
      </c>
      <c r="AZ150" s="86" t="str">
        <f t="shared" si="74"/>
        <v>-</v>
      </c>
      <c r="BA150" s="86" t="str">
        <f t="shared" si="75"/>
        <v>-</v>
      </c>
      <c r="BB150" s="86" t="str">
        <f t="shared" si="76"/>
        <v>-</v>
      </c>
      <c r="BC150" s="86" t="str">
        <f t="shared" si="77"/>
        <v>-</v>
      </c>
      <c r="BD150" s="86" t="str">
        <f t="shared" si="78"/>
        <v>-</v>
      </c>
      <c r="BE150" s="86" t="str">
        <f t="shared" si="79"/>
        <v>-</v>
      </c>
      <c r="BF150" s="86" t="str">
        <f t="shared" si="80"/>
        <v>-</v>
      </c>
    </row>
    <row r="151" spans="1:58" x14ac:dyDescent="0.2">
      <c r="A151" s="80" t="s">
        <v>1144</v>
      </c>
      <c r="B151" s="92" t="s">
        <v>76</v>
      </c>
      <c r="C151" s="202">
        <v>8515917</v>
      </c>
      <c r="D151" s="203">
        <v>8</v>
      </c>
      <c r="E151" s="204" t="s">
        <v>1459</v>
      </c>
      <c r="F151" s="204" t="s">
        <v>1378</v>
      </c>
      <c r="G151" s="204" t="s">
        <v>1460</v>
      </c>
      <c r="H151" s="205" t="s">
        <v>1033</v>
      </c>
      <c r="I151" s="205" t="s">
        <v>662</v>
      </c>
      <c r="J151" s="203">
        <v>80</v>
      </c>
      <c r="K151" s="204" t="s">
        <v>567</v>
      </c>
      <c r="L151" s="206" t="s">
        <v>502</v>
      </c>
      <c r="M151" s="210" t="s">
        <v>21</v>
      </c>
      <c r="N151" s="211">
        <v>45693</v>
      </c>
      <c r="O151" s="207">
        <v>90</v>
      </c>
      <c r="P151" s="203">
        <v>1</v>
      </c>
      <c r="Q151" s="205" t="s">
        <v>23</v>
      </c>
      <c r="R151" s="205" t="s">
        <v>11</v>
      </c>
      <c r="S151" s="205" t="s">
        <v>23</v>
      </c>
      <c r="T151" s="207">
        <v>90</v>
      </c>
      <c r="U151" s="208" t="s">
        <v>11</v>
      </c>
      <c r="V151" s="212" t="s">
        <v>11</v>
      </c>
      <c r="W151" s="212" t="s">
        <v>19</v>
      </c>
      <c r="X151" s="209">
        <v>736767</v>
      </c>
      <c r="Y151" s="213" t="s">
        <v>735</v>
      </c>
      <c r="Z151" s="209">
        <v>90</v>
      </c>
      <c r="AA151" s="209">
        <v>736767</v>
      </c>
      <c r="AB151" s="209">
        <v>736767</v>
      </c>
      <c r="AC151" s="178" t="str">
        <f>IF(OR(M151="13",M151="14",P151=8),"",IF(AND(OR(S151="AUTORIZADO", S151="PENDIENTE", S151="REDUCIDO", S151="AMPLIADO"),L151&lt;&gt;"HONORARIO" ), CONCATENATE(IF(H151="X","H",H151),"_",IF(OR(P151=5,P151=6),_xlfn.CONCAT(P151,"A"),P151),"_",VLOOKUP(T151,Datos!$B$2:$C$5,2,TRUE)),""))</f>
        <v>M_1_[11 +]</v>
      </c>
      <c r="AD151" s="178">
        <f t="shared" si="54"/>
        <v>1473534</v>
      </c>
      <c r="AE151" s="82" t="str">
        <f t="shared" si="55"/>
        <v>-</v>
      </c>
      <c r="AF151" s="83" t="str">
        <f t="shared" si="56"/>
        <v>070601</v>
      </c>
      <c r="AG151" s="84"/>
      <c r="AH151" s="85" t="str">
        <f t="shared" si="57"/>
        <v>Corporación de Fomento de la Producción</v>
      </c>
      <c r="AI151" s="82" t="str">
        <f t="shared" si="58"/>
        <v>-</v>
      </c>
      <c r="AJ151" s="82">
        <f t="shared" si="59"/>
        <v>8</v>
      </c>
      <c r="AK151" s="82" t="str">
        <f t="shared" si="60"/>
        <v>-</v>
      </c>
      <c r="AL151" s="82" t="str">
        <f t="shared" si="61"/>
        <v>Identifica este registro como MUJER</v>
      </c>
      <c r="AM151" s="82" t="str">
        <f t="shared" si="62"/>
        <v>-</v>
      </c>
      <c r="AN151" s="82" t="str">
        <f t="shared" si="63"/>
        <v>-</v>
      </c>
      <c r="AO151" s="82" t="str">
        <f t="shared" si="64"/>
        <v>-</v>
      </c>
      <c r="AP151" s="57" t="str">
        <f t="shared" si="65"/>
        <v>-</v>
      </c>
      <c r="AQ151" s="86" t="str">
        <f t="shared" si="66"/>
        <v>-</v>
      </c>
      <c r="AR151" s="86" t="str">
        <f>IF(N151="","PRIMER_DIA en blanco",
IF(AND(M151="01",N151&gt;=L_Conversion!$C$118,N151&lt;=L_Conversion!$D$118),"-",
IF(AND(M151="02",N151&gt;=L_Conversion!$C$119,N151&lt;=L_Conversion!$D$119),"-",
IF(AND(M151="03",N151&gt;=L_Conversion!$C$120,N151&lt;=L_Conversion!$D$120),"-",
IF(AND(M151="04",N151&gt;=L_Conversion!$C$121,N151&lt;=L_Conversion!$D$121),"-",
IF(AND(M151="05",N151&gt;=L_Conversion!$C$122,N151&lt;=L_Conversion!$D$122),"-",
IF(AND(M151="06",N151&gt;=L_Conversion!$C$123,N151&lt;=L_Conversion!$D$123),"-",
IF(AND(M151="07",N151&gt;=L_Conversion!$C$124,N151&lt;=L_Conversion!$D$124),"-",
IF(AND(M151="08",N151&gt;=L_Conversion!$C$125,N151&lt;=L_Conversion!$D$125),"-",
IF(AND(M151="09",N151&gt;=L_Conversion!$C$126,N151&lt;=L_Conversion!$D$126),"-",
IF(AND(M151="10",N151&gt;=L_Conversion!$C$127,N151&lt;=L_Conversion!$D$127),"-",
IF(AND(M151="11",N151&gt;=L_Conversion!$C$128,N151&lt;=L_Conversion!$D$128),"-",
IF(AND(M151="12",N151&gt;=L_Conversion!$C$129,N151&lt;=L_Conversion!$D$129),"-",
IF(AND(M151="13",N151&gt;=L_Conversion!$C$116,N151&lt;=L_Conversion!$D$116),"-",
IF(AND(M151="14",N151&gt;=L_Conversion!$C$117,N151&lt;=L_Conversion!$D$117),"-",
"PRIMER_DIA fuera de rango")))))))))))))))</f>
        <v>-</v>
      </c>
      <c r="AS151" s="86" t="str">
        <f t="shared" si="67"/>
        <v>-</v>
      </c>
      <c r="AT151" s="86" t="str">
        <f t="shared" si="68"/>
        <v>-</v>
      </c>
      <c r="AU151" s="86" t="str">
        <f t="shared" si="69"/>
        <v>-</v>
      </c>
      <c r="AV151" s="86" t="str">
        <f t="shared" si="70"/>
        <v>-</v>
      </c>
      <c r="AW151" s="86" t="str">
        <f t="shared" si="71"/>
        <v>-</v>
      </c>
      <c r="AX151" s="86" t="str">
        <f t="shared" si="72"/>
        <v>-</v>
      </c>
      <c r="AY151" s="86" t="str">
        <f t="shared" si="73"/>
        <v>-</v>
      </c>
      <c r="AZ151" s="86" t="str">
        <f t="shared" si="74"/>
        <v>-</v>
      </c>
      <c r="BA151" s="86" t="str">
        <f t="shared" si="75"/>
        <v>-</v>
      </c>
      <c r="BB151" s="86" t="str">
        <f t="shared" si="76"/>
        <v>-</v>
      </c>
      <c r="BC151" s="86" t="str">
        <f t="shared" si="77"/>
        <v>-</v>
      </c>
      <c r="BD151" s="86" t="str">
        <f t="shared" si="78"/>
        <v>-</v>
      </c>
      <c r="BE151" s="86" t="str">
        <f t="shared" si="79"/>
        <v>-</v>
      </c>
      <c r="BF151" s="86" t="str">
        <f t="shared" si="80"/>
        <v>-</v>
      </c>
    </row>
    <row r="152" spans="1:58" x14ac:dyDescent="0.2">
      <c r="A152" s="80" t="s">
        <v>1144</v>
      </c>
      <c r="B152" s="92" t="s">
        <v>76</v>
      </c>
      <c r="C152" s="202">
        <v>10091655</v>
      </c>
      <c r="D152" s="203" t="s">
        <v>1151</v>
      </c>
      <c r="E152" s="204" t="s">
        <v>1461</v>
      </c>
      <c r="F152" s="204" t="s">
        <v>1461</v>
      </c>
      <c r="G152" s="204" t="s">
        <v>1462</v>
      </c>
      <c r="H152" s="205" t="s">
        <v>1033</v>
      </c>
      <c r="I152" s="205" t="s">
        <v>662</v>
      </c>
      <c r="J152" s="203">
        <v>80</v>
      </c>
      <c r="K152" s="204" t="s">
        <v>563</v>
      </c>
      <c r="L152" s="206" t="s">
        <v>502</v>
      </c>
      <c r="M152" s="210" t="s">
        <v>21</v>
      </c>
      <c r="N152" s="211">
        <v>45693</v>
      </c>
      <c r="O152" s="207">
        <v>3</v>
      </c>
      <c r="P152" s="203">
        <v>1</v>
      </c>
      <c r="Q152" s="205" t="s">
        <v>23</v>
      </c>
      <c r="R152" s="205" t="s">
        <v>11</v>
      </c>
      <c r="S152" s="205" t="s">
        <v>23</v>
      </c>
      <c r="T152" s="207">
        <v>3</v>
      </c>
      <c r="U152" s="208" t="s">
        <v>11</v>
      </c>
      <c r="V152" s="212" t="s">
        <v>19</v>
      </c>
      <c r="W152" s="212" t="s">
        <v>19</v>
      </c>
      <c r="X152" s="209">
        <v>61573</v>
      </c>
      <c r="Y152" s="213" t="s">
        <v>735</v>
      </c>
      <c r="Z152" s="209">
        <v>3</v>
      </c>
      <c r="AA152" s="209">
        <v>61573</v>
      </c>
      <c r="AB152" s="209">
        <v>61573</v>
      </c>
      <c r="AC152" s="178" t="str">
        <f>IF(OR(M152="13",M152="14",P152=8),"",IF(AND(OR(S152="AUTORIZADO", S152="PENDIENTE", S152="REDUCIDO", S152="AMPLIADO"),L152&lt;&gt;"HONORARIO" ), CONCATENATE(IF(H152="X","H",H152),"_",IF(OR(P152=5,P152=6),_xlfn.CONCAT(P152,"A"),P152),"_",VLOOKUP(T152,Datos!$B$2:$C$5,2,TRUE)),""))</f>
        <v>M_1_[hasta 3]</v>
      </c>
      <c r="AD152" s="178">
        <f t="shared" si="54"/>
        <v>123146</v>
      </c>
      <c r="AE152" s="82" t="str">
        <f t="shared" si="55"/>
        <v>-</v>
      </c>
      <c r="AF152" s="83" t="str">
        <f t="shared" si="56"/>
        <v>070601</v>
      </c>
      <c r="AG152" s="84"/>
      <c r="AH152" s="85" t="str">
        <f t="shared" si="57"/>
        <v>Corporación de Fomento de la Producción</v>
      </c>
      <c r="AI152" s="82" t="str">
        <f t="shared" si="58"/>
        <v>-</v>
      </c>
      <c r="AJ152" s="82" t="str">
        <f t="shared" si="59"/>
        <v>K</v>
      </c>
      <c r="AK152" s="82" t="str">
        <f t="shared" si="60"/>
        <v>-</v>
      </c>
      <c r="AL152" s="82" t="str">
        <f t="shared" si="61"/>
        <v>Identifica este registro como MUJER</v>
      </c>
      <c r="AM152" s="82" t="str">
        <f t="shared" si="62"/>
        <v>-</v>
      </c>
      <c r="AN152" s="82" t="str">
        <f t="shared" si="63"/>
        <v>-</v>
      </c>
      <c r="AO152" s="82" t="str">
        <f t="shared" si="64"/>
        <v>-</v>
      </c>
      <c r="AP152" s="57" t="str">
        <f t="shared" si="65"/>
        <v>-</v>
      </c>
      <c r="AQ152" s="86" t="str">
        <f t="shared" si="66"/>
        <v>-</v>
      </c>
      <c r="AR152" s="86" t="str">
        <f>IF(N152="","PRIMER_DIA en blanco",
IF(AND(M152="01",N152&gt;=L_Conversion!$C$118,N152&lt;=L_Conversion!$D$118),"-",
IF(AND(M152="02",N152&gt;=L_Conversion!$C$119,N152&lt;=L_Conversion!$D$119),"-",
IF(AND(M152="03",N152&gt;=L_Conversion!$C$120,N152&lt;=L_Conversion!$D$120),"-",
IF(AND(M152="04",N152&gt;=L_Conversion!$C$121,N152&lt;=L_Conversion!$D$121),"-",
IF(AND(M152="05",N152&gt;=L_Conversion!$C$122,N152&lt;=L_Conversion!$D$122),"-",
IF(AND(M152="06",N152&gt;=L_Conversion!$C$123,N152&lt;=L_Conversion!$D$123),"-",
IF(AND(M152="07",N152&gt;=L_Conversion!$C$124,N152&lt;=L_Conversion!$D$124),"-",
IF(AND(M152="08",N152&gt;=L_Conversion!$C$125,N152&lt;=L_Conversion!$D$125),"-",
IF(AND(M152="09",N152&gt;=L_Conversion!$C$126,N152&lt;=L_Conversion!$D$126),"-",
IF(AND(M152="10",N152&gt;=L_Conversion!$C$127,N152&lt;=L_Conversion!$D$127),"-",
IF(AND(M152="11",N152&gt;=L_Conversion!$C$128,N152&lt;=L_Conversion!$D$128),"-",
IF(AND(M152="12",N152&gt;=L_Conversion!$C$129,N152&lt;=L_Conversion!$D$129),"-",
IF(AND(M152="13",N152&gt;=L_Conversion!$C$116,N152&lt;=L_Conversion!$D$116),"-",
IF(AND(M152="14",N152&gt;=L_Conversion!$C$117,N152&lt;=L_Conversion!$D$117),"-",
"PRIMER_DIA fuera de rango")))))))))))))))</f>
        <v>-</v>
      </c>
      <c r="AS152" s="86" t="str">
        <f t="shared" si="67"/>
        <v>-</v>
      </c>
      <c r="AT152" s="86" t="str">
        <f t="shared" si="68"/>
        <v>-</v>
      </c>
      <c r="AU152" s="86" t="str">
        <f t="shared" si="69"/>
        <v>-</v>
      </c>
      <c r="AV152" s="86" t="str">
        <f t="shared" si="70"/>
        <v>-</v>
      </c>
      <c r="AW152" s="86" t="str">
        <f t="shared" si="71"/>
        <v>-</v>
      </c>
      <c r="AX152" s="86" t="str">
        <f t="shared" si="72"/>
        <v>-</v>
      </c>
      <c r="AY152" s="86" t="str">
        <f t="shared" si="73"/>
        <v>-</v>
      </c>
      <c r="AZ152" s="86" t="str">
        <f t="shared" si="74"/>
        <v>-</v>
      </c>
      <c r="BA152" s="86" t="str">
        <f t="shared" si="75"/>
        <v>-</v>
      </c>
      <c r="BB152" s="86" t="str">
        <f t="shared" si="76"/>
        <v>-</v>
      </c>
      <c r="BC152" s="86" t="str">
        <f t="shared" si="77"/>
        <v>-</v>
      </c>
      <c r="BD152" s="86" t="str">
        <f t="shared" si="78"/>
        <v>-</v>
      </c>
      <c r="BE152" s="86" t="str">
        <f t="shared" si="79"/>
        <v>-</v>
      </c>
      <c r="BF152" s="86" t="str">
        <f t="shared" si="80"/>
        <v>-</v>
      </c>
    </row>
    <row r="153" spans="1:58" x14ac:dyDescent="0.2">
      <c r="A153" s="80" t="s">
        <v>1144</v>
      </c>
      <c r="B153" s="92" t="s">
        <v>76</v>
      </c>
      <c r="C153" s="202">
        <v>12800998</v>
      </c>
      <c r="D153" s="203">
        <v>1</v>
      </c>
      <c r="E153" s="204" t="s">
        <v>1303</v>
      </c>
      <c r="F153" s="204" t="s">
        <v>1304</v>
      </c>
      <c r="G153" s="204" t="s">
        <v>1290</v>
      </c>
      <c r="H153" s="205" t="s">
        <v>1033</v>
      </c>
      <c r="I153" s="205" t="s">
        <v>662</v>
      </c>
      <c r="J153" s="203">
        <v>80</v>
      </c>
      <c r="K153" s="204" t="s">
        <v>563</v>
      </c>
      <c r="L153" s="206" t="s">
        <v>502</v>
      </c>
      <c r="M153" s="210" t="s">
        <v>21</v>
      </c>
      <c r="N153" s="211">
        <v>45693</v>
      </c>
      <c r="O153" s="207">
        <v>3</v>
      </c>
      <c r="P153" s="203">
        <v>1</v>
      </c>
      <c r="Q153" s="205" t="s">
        <v>23</v>
      </c>
      <c r="R153" s="205" t="s">
        <v>11</v>
      </c>
      <c r="S153" s="205" t="s">
        <v>23</v>
      </c>
      <c r="T153" s="207">
        <v>3</v>
      </c>
      <c r="U153" s="208" t="s">
        <v>11</v>
      </c>
      <c r="V153" s="212" t="s">
        <v>19</v>
      </c>
      <c r="W153" s="212" t="s">
        <v>19</v>
      </c>
      <c r="X153" s="209">
        <v>61573</v>
      </c>
      <c r="Y153" s="213" t="s">
        <v>735</v>
      </c>
      <c r="Z153" s="209">
        <v>3</v>
      </c>
      <c r="AA153" s="209">
        <v>61573</v>
      </c>
      <c r="AB153" s="209">
        <v>61573</v>
      </c>
      <c r="AC153" s="178" t="str">
        <f>IF(OR(M153="13",M153="14",P153=8),"",IF(AND(OR(S153="AUTORIZADO", S153="PENDIENTE", S153="REDUCIDO", S153="AMPLIADO"),L153&lt;&gt;"HONORARIO" ), CONCATENATE(IF(H153="X","H",H153),"_",IF(OR(P153=5,P153=6),_xlfn.CONCAT(P153,"A"),P153),"_",VLOOKUP(T153,Datos!$B$2:$C$5,2,TRUE)),""))</f>
        <v>M_1_[hasta 3]</v>
      </c>
      <c r="AD153" s="178">
        <f t="shared" si="54"/>
        <v>123146</v>
      </c>
      <c r="AE153" s="82" t="str">
        <f t="shared" si="55"/>
        <v>-</v>
      </c>
      <c r="AF153" s="83" t="str">
        <f t="shared" si="56"/>
        <v>070601</v>
      </c>
      <c r="AG153" s="84"/>
      <c r="AH153" s="85" t="str">
        <f t="shared" si="57"/>
        <v>Corporación de Fomento de la Producción</v>
      </c>
      <c r="AI153" s="82" t="str">
        <f t="shared" si="58"/>
        <v>-</v>
      </c>
      <c r="AJ153" s="82">
        <f t="shared" si="59"/>
        <v>1</v>
      </c>
      <c r="AK153" s="82" t="str">
        <f t="shared" si="60"/>
        <v>-</v>
      </c>
      <c r="AL153" s="82" t="str">
        <f t="shared" si="61"/>
        <v>Identifica este registro como MUJER</v>
      </c>
      <c r="AM153" s="82" t="str">
        <f t="shared" si="62"/>
        <v>-</v>
      </c>
      <c r="AN153" s="82" t="str">
        <f t="shared" si="63"/>
        <v>-</v>
      </c>
      <c r="AO153" s="82" t="str">
        <f t="shared" si="64"/>
        <v>-</v>
      </c>
      <c r="AP153" s="57" t="str">
        <f t="shared" si="65"/>
        <v>-</v>
      </c>
      <c r="AQ153" s="86" t="str">
        <f t="shared" si="66"/>
        <v>-</v>
      </c>
      <c r="AR153" s="86" t="str">
        <f>IF(N153="","PRIMER_DIA en blanco",
IF(AND(M153="01",N153&gt;=L_Conversion!$C$118,N153&lt;=L_Conversion!$D$118),"-",
IF(AND(M153="02",N153&gt;=L_Conversion!$C$119,N153&lt;=L_Conversion!$D$119),"-",
IF(AND(M153="03",N153&gt;=L_Conversion!$C$120,N153&lt;=L_Conversion!$D$120),"-",
IF(AND(M153="04",N153&gt;=L_Conversion!$C$121,N153&lt;=L_Conversion!$D$121),"-",
IF(AND(M153="05",N153&gt;=L_Conversion!$C$122,N153&lt;=L_Conversion!$D$122),"-",
IF(AND(M153="06",N153&gt;=L_Conversion!$C$123,N153&lt;=L_Conversion!$D$123),"-",
IF(AND(M153="07",N153&gt;=L_Conversion!$C$124,N153&lt;=L_Conversion!$D$124),"-",
IF(AND(M153="08",N153&gt;=L_Conversion!$C$125,N153&lt;=L_Conversion!$D$125),"-",
IF(AND(M153="09",N153&gt;=L_Conversion!$C$126,N153&lt;=L_Conversion!$D$126),"-",
IF(AND(M153="10",N153&gt;=L_Conversion!$C$127,N153&lt;=L_Conversion!$D$127),"-",
IF(AND(M153="11",N153&gt;=L_Conversion!$C$128,N153&lt;=L_Conversion!$D$128),"-",
IF(AND(M153="12",N153&gt;=L_Conversion!$C$129,N153&lt;=L_Conversion!$D$129),"-",
IF(AND(M153="13",N153&gt;=L_Conversion!$C$116,N153&lt;=L_Conversion!$D$116),"-",
IF(AND(M153="14",N153&gt;=L_Conversion!$C$117,N153&lt;=L_Conversion!$D$117),"-",
"PRIMER_DIA fuera de rango")))))))))))))))</f>
        <v>-</v>
      </c>
      <c r="AS153" s="86" t="str">
        <f t="shared" si="67"/>
        <v>-</v>
      </c>
      <c r="AT153" s="86" t="str">
        <f t="shared" si="68"/>
        <v>-</v>
      </c>
      <c r="AU153" s="86" t="str">
        <f t="shared" si="69"/>
        <v>-</v>
      </c>
      <c r="AV153" s="86" t="str">
        <f t="shared" si="70"/>
        <v>-</v>
      </c>
      <c r="AW153" s="86" t="str">
        <f t="shared" si="71"/>
        <v>-</v>
      </c>
      <c r="AX153" s="86" t="str">
        <f t="shared" si="72"/>
        <v>-</v>
      </c>
      <c r="AY153" s="86" t="str">
        <f t="shared" si="73"/>
        <v>-</v>
      </c>
      <c r="AZ153" s="86" t="str">
        <f t="shared" si="74"/>
        <v>-</v>
      </c>
      <c r="BA153" s="86" t="str">
        <f t="shared" si="75"/>
        <v>-</v>
      </c>
      <c r="BB153" s="86" t="str">
        <f t="shared" si="76"/>
        <v>-</v>
      </c>
      <c r="BC153" s="86" t="str">
        <f t="shared" si="77"/>
        <v>-</v>
      </c>
      <c r="BD153" s="86" t="str">
        <f t="shared" si="78"/>
        <v>-</v>
      </c>
      <c r="BE153" s="86" t="str">
        <f t="shared" si="79"/>
        <v>-</v>
      </c>
      <c r="BF153" s="86" t="str">
        <f t="shared" si="80"/>
        <v>-</v>
      </c>
    </row>
    <row r="154" spans="1:58" x14ac:dyDescent="0.2">
      <c r="A154" s="80" t="s">
        <v>1144</v>
      </c>
      <c r="B154" s="92" t="s">
        <v>76</v>
      </c>
      <c r="C154" s="202">
        <v>16871109</v>
      </c>
      <c r="D154" s="203">
        <v>3</v>
      </c>
      <c r="E154" s="204" t="s">
        <v>1213</v>
      </c>
      <c r="F154" s="204" t="s">
        <v>1150</v>
      </c>
      <c r="G154" s="204" t="s">
        <v>1214</v>
      </c>
      <c r="H154" s="205" t="s">
        <v>1033</v>
      </c>
      <c r="I154" s="205" t="s">
        <v>662</v>
      </c>
      <c r="J154" s="203">
        <v>80</v>
      </c>
      <c r="K154" s="204" t="s">
        <v>563</v>
      </c>
      <c r="L154" s="206" t="s">
        <v>502</v>
      </c>
      <c r="M154" s="210" t="s">
        <v>21</v>
      </c>
      <c r="N154" s="211">
        <v>45694</v>
      </c>
      <c r="O154" s="207">
        <v>30</v>
      </c>
      <c r="P154" s="203">
        <v>4</v>
      </c>
      <c r="Q154" s="205" t="s">
        <v>23</v>
      </c>
      <c r="R154" s="205" t="s">
        <v>11</v>
      </c>
      <c r="S154" s="205" t="s">
        <v>23</v>
      </c>
      <c r="T154" s="207">
        <v>30</v>
      </c>
      <c r="U154" s="208" t="s">
        <v>11</v>
      </c>
      <c r="V154" s="212" t="s">
        <v>11</v>
      </c>
      <c r="W154" s="212" t="s">
        <v>19</v>
      </c>
      <c r="X154" s="209">
        <v>117048</v>
      </c>
      <c r="Y154" s="213" t="s">
        <v>735</v>
      </c>
      <c r="Z154" s="209">
        <v>30</v>
      </c>
      <c r="AA154" s="209">
        <v>117048</v>
      </c>
      <c r="AB154" s="209">
        <v>117048</v>
      </c>
      <c r="AC154" s="178" t="str">
        <f>IF(OR(M154="13",M154="14",P154=8),"",IF(AND(OR(S154="AUTORIZADO", S154="PENDIENTE", S154="REDUCIDO", S154="AMPLIADO"),L154&lt;&gt;"HONORARIO" ), CONCATENATE(IF(H154="X","H",H154),"_",IF(OR(P154=5,P154=6),_xlfn.CONCAT(P154,"A"),P154),"_",VLOOKUP(T154,Datos!$B$2:$C$5,2,TRUE)),""))</f>
        <v>M_4_[11 +]</v>
      </c>
      <c r="AD154" s="178">
        <f t="shared" si="54"/>
        <v>234096</v>
      </c>
      <c r="AE154" s="82" t="str">
        <f t="shared" si="55"/>
        <v>-</v>
      </c>
      <c r="AF154" s="83" t="str">
        <f t="shared" si="56"/>
        <v>070601</v>
      </c>
      <c r="AG154" s="84"/>
      <c r="AH154" s="85" t="str">
        <f t="shared" si="57"/>
        <v>Corporación de Fomento de la Producción</v>
      </c>
      <c r="AI154" s="82" t="str">
        <f t="shared" si="58"/>
        <v>-</v>
      </c>
      <c r="AJ154" s="82">
        <f t="shared" si="59"/>
        <v>3</v>
      </c>
      <c r="AK154" s="82" t="str">
        <f t="shared" si="60"/>
        <v>-</v>
      </c>
      <c r="AL154" s="82" t="str">
        <f t="shared" si="61"/>
        <v>Identifica este registro como MUJER</v>
      </c>
      <c r="AM154" s="82" t="str">
        <f t="shared" si="62"/>
        <v>-</v>
      </c>
      <c r="AN154" s="82" t="str">
        <f t="shared" si="63"/>
        <v>-</v>
      </c>
      <c r="AO154" s="82" t="str">
        <f t="shared" si="64"/>
        <v>-</v>
      </c>
      <c r="AP154" s="57" t="str">
        <f t="shared" si="65"/>
        <v>-</v>
      </c>
      <c r="AQ154" s="86" t="str">
        <f t="shared" si="66"/>
        <v>-</v>
      </c>
      <c r="AR154" s="86" t="str">
        <f>IF(N154="","PRIMER_DIA en blanco",
IF(AND(M154="01",N154&gt;=L_Conversion!$C$118,N154&lt;=L_Conversion!$D$118),"-",
IF(AND(M154="02",N154&gt;=L_Conversion!$C$119,N154&lt;=L_Conversion!$D$119),"-",
IF(AND(M154="03",N154&gt;=L_Conversion!$C$120,N154&lt;=L_Conversion!$D$120),"-",
IF(AND(M154="04",N154&gt;=L_Conversion!$C$121,N154&lt;=L_Conversion!$D$121),"-",
IF(AND(M154="05",N154&gt;=L_Conversion!$C$122,N154&lt;=L_Conversion!$D$122),"-",
IF(AND(M154="06",N154&gt;=L_Conversion!$C$123,N154&lt;=L_Conversion!$D$123),"-",
IF(AND(M154="07",N154&gt;=L_Conversion!$C$124,N154&lt;=L_Conversion!$D$124),"-",
IF(AND(M154="08",N154&gt;=L_Conversion!$C$125,N154&lt;=L_Conversion!$D$125),"-",
IF(AND(M154="09",N154&gt;=L_Conversion!$C$126,N154&lt;=L_Conversion!$D$126),"-",
IF(AND(M154="10",N154&gt;=L_Conversion!$C$127,N154&lt;=L_Conversion!$D$127),"-",
IF(AND(M154="11",N154&gt;=L_Conversion!$C$128,N154&lt;=L_Conversion!$D$128),"-",
IF(AND(M154="12",N154&gt;=L_Conversion!$C$129,N154&lt;=L_Conversion!$D$129),"-",
IF(AND(M154="13",N154&gt;=L_Conversion!$C$116,N154&lt;=L_Conversion!$D$116),"-",
IF(AND(M154="14",N154&gt;=L_Conversion!$C$117,N154&lt;=L_Conversion!$D$117),"-",
"PRIMER_DIA fuera de rango")))))))))))))))</f>
        <v>-</v>
      </c>
      <c r="AS154" s="86" t="str">
        <f t="shared" si="67"/>
        <v>-</v>
      </c>
      <c r="AT154" s="86" t="str">
        <f t="shared" si="68"/>
        <v>-</v>
      </c>
      <c r="AU154" s="86" t="str">
        <f t="shared" si="69"/>
        <v>-</v>
      </c>
      <c r="AV154" s="86" t="str">
        <f t="shared" si="70"/>
        <v>-</v>
      </c>
      <c r="AW154" s="86" t="str">
        <f t="shared" si="71"/>
        <v>-</v>
      </c>
      <c r="AX154" s="86" t="str">
        <f t="shared" si="72"/>
        <v>-</v>
      </c>
      <c r="AY154" s="86" t="str">
        <f t="shared" si="73"/>
        <v>-</v>
      </c>
      <c r="AZ154" s="86" t="str">
        <f t="shared" si="74"/>
        <v>-</v>
      </c>
      <c r="BA154" s="86" t="str">
        <f t="shared" si="75"/>
        <v>-</v>
      </c>
      <c r="BB154" s="86" t="str">
        <f t="shared" si="76"/>
        <v>-</v>
      </c>
      <c r="BC154" s="86" t="str">
        <f t="shared" si="77"/>
        <v>-</v>
      </c>
      <c r="BD154" s="86" t="str">
        <f t="shared" si="78"/>
        <v>-</v>
      </c>
      <c r="BE154" s="86" t="str">
        <f t="shared" si="79"/>
        <v>-</v>
      </c>
      <c r="BF154" s="86" t="str">
        <f t="shared" si="80"/>
        <v>-</v>
      </c>
    </row>
    <row r="155" spans="1:58" x14ac:dyDescent="0.2">
      <c r="A155" s="80" t="s">
        <v>1144</v>
      </c>
      <c r="B155" s="92" t="s">
        <v>76</v>
      </c>
      <c r="C155" s="202">
        <v>18211616</v>
      </c>
      <c r="D155" s="203">
        <v>5</v>
      </c>
      <c r="E155" s="204" t="s">
        <v>1193</v>
      </c>
      <c r="F155" s="204" t="s">
        <v>1175</v>
      </c>
      <c r="G155" s="204" t="s">
        <v>1362</v>
      </c>
      <c r="H155" s="205" t="s">
        <v>1033</v>
      </c>
      <c r="I155" s="205" t="s">
        <v>662</v>
      </c>
      <c r="J155" s="203">
        <v>80</v>
      </c>
      <c r="K155" s="204" t="s">
        <v>563</v>
      </c>
      <c r="L155" s="206" t="s">
        <v>502</v>
      </c>
      <c r="M155" s="210" t="s">
        <v>21</v>
      </c>
      <c r="N155" s="211">
        <v>45694</v>
      </c>
      <c r="O155" s="207">
        <v>2</v>
      </c>
      <c r="P155" s="203">
        <v>1</v>
      </c>
      <c r="Q155" s="205" t="s">
        <v>23</v>
      </c>
      <c r="R155" s="205" t="s">
        <v>11</v>
      </c>
      <c r="S155" s="205" t="s">
        <v>23</v>
      </c>
      <c r="T155" s="207">
        <v>2</v>
      </c>
      <c r="U155" s="208" t="s">
        <v>11</v>
      </c>
      <c r="V155" s="212" t="s">
        <v>19</v>
      </c>
      <c r="W155" s="212" t="s">
        <v>19</v>
      </c>
      <c r="X155" s="209">
        <v>35166</v>
      </c>
      <c r="Y155" s="213" t="s">
        <v>735</v>
      </c>
      <c r="Z155" s="209">
        <v>2</v>
      </c>
      <c r="AA155" s="209">
        <v>35166</v>
      </c>
      <c r="AB155" s="209">
        <v>35166</v>
      </c>
      <c r="AC155" s="178" t="str">
        <f>IF(OR(M155="13",M155="14",P155=8),"",IF(AND(OR(S155="AUTORIZADO", S155="PENDIENTE", S155="REDUCIDO", S155="AMPLIADO"),L155&lt;&gt;"HONORARIO" ), CONCATENATE(IF(H155="X","H",H155),"_",IF(OR(P155=5,P155=6),_xlfn.CONCAT(P155,"A"),P155),"_",VLOOKUP(T155,Datos!$B$2:$C$5,2,TRUE)),""))</f>
        <v>M_1_[hasta 3]</v>
      </c>
      <c r="AD155" s="178">
        <f t="shared" si="54"/>
        <v>70332</v>
      </c>
      <c r="AE155" s="82" t="str">
        <f t="shared" si="55"/>
        <v>-</v>
      </c>
      <c r="AF155" s="83" t="str">
        <f t="shared" si="56"/>
        <v>070601</v>
      </c>
      <c r="AG155" s="84"/>
      <c r="AH155" s="85" t="str">
        <f t="shared" si="57"/>
        <v>Corporación de Fomento de la Producción</v>
      </c>
      <c r="AI155" s="82" t="str">
        <f t="shared" si="58"/>
        <v>-</v>
      </c>
      <c r="AJ155" s="82">
        <f t="shared" si="59"/>
        <v>5</v>
      </c>
      <c r="AK155" s="82" t="str">
        <f t="shared" si="60"/>
        <v>-</v>
      </c>
      <c r="AL155" s="82" t="str">
        <f t="shared" si="61"/>
        <v>Identifica este registro como MUJER</v>
      </c>
      <c r="AM155" s="82" t="str">
        <f t="shared" si="62"/>
        <v>-</v>
      </c>
      <c r="AN155" s="82" t="str">
        <f t="shared" si="63"/>
        <v>-</v>
      </c>
      <c r="AO155" s="82" t="str">
        <f t="shared" si="64"/>
        <v>-</v>
      </c>
      <c r="AP155" s="57" t="str">
        <f t="shared" si="65"/>
        <v>-</v>
      </c>
      <c r="AQ155" s="86" t="str">
        <f t="shared" si="66"/>
        <v>-</v>
      </c>
      <c r="AR155" s="86" t="str">
        <f>IF(N155="","PRIMER_DIA en blanco",
IF(AND(M155="01",N155&gt;=L_Conversion!$C$118,N155&lt;=L_Conversion!$D$118),"-",
IF(AND(M155="02",N155&gt;=L_Conversion!$C$119,N155&lt;=L_Conversion!$D$119),"-",
IF(AND(M155="03",N155&gt;=L_Conversion!$C$120,N155&lt;=L_Conversion!$D$120),"-",
IF(AND(M155="04",N155&gt;=L_Conversion!$C$121,N155&lt;=L_Conversion!$D$121),"-",
IF(AND(M155="05",N155&gt;=L_Conversion!$C$122,N155&lt;=L_Conversion!$D$122),"-",
IF(AND(M155="06",N155&gt;=L_Conversion!$C$123,N155&lt;=L_Conversion!$D$123),"-",
IF(AND(M155="07",N155&gt;=L_Conversion!$C$124,N155&lt;=L_Conversion!$D$124),"-",
IF(AND(M155="08",N155&gt;=L_Conversion!$C$125,N155&lt;=L_Conversion!$D$125),"-",
IF(AND(M155="09",N155&gt;=L_Conversion!$C$126,N155&lt;=L_Conversion!$D$126),"-",
IF(AND(M155="10",N155&gt;=L_Conversion!$C$127,N155&lt;=L_Conversion!$D$127),"-",
IF(AND(M155="11",N155&gt;=L_Conversion!$C$128,N155&lt;=L_Conversion!$D$128),"-",
IF(AND(M155="12",N155&gt;=L_Conversion!$C$129,N155&lt;=L_Conversion!$D$129),"-",
IF(AND(M155="13",N155&gt;=L_Conversion!$C$116,N155&lt;=L_Conversion!$D$116),"-",
IF(AND(M155="14",N155&gt;=L_Conversion!$C$117,N155&lt;=L_Conversion!$D$117),"-",
"PRIMER_DIA fuera de rango")))))))))))))))</f>
        <v>-</v>
      </c>
      <c r="AS155" s="86" t="str">
        <f t="shared" si="67"/>
        <v>-</v>
      </c>
      <c r="AT155" s="86" t="str">
        <f t="shared" si="68"/>
        <v>-</v>
      </c>
      <c r="AU155" s="86" t="str">
        <f t="shared" si="69"/>
        <v>-</v>
      </c>
      <c r="AV155" s="86" t="str">
        <f t="shared" si="70"/>
        <v>-</v>
      </c>
      <c r="AW155" s="86" t="str">
        <f t="shared" si="71"/>
        <v>-</v>
      </c>
      <c r="AX155" s="86" t="str">
        <f t="shared" si="72"/>
        <v>-</v>
      </c>
      <c r="AY155" s="86" t="str">
        <f t="shared" si="73"/>
        <v>-</v>
      </c>
      <c r="AZ155" s="86" t="str">
        <f t="shared" si="74"/>
        <v>-</v>
      </c>
      <c r="BA155" s="86" t="str">
        <f t="shared" si="75"/>
        <v>-</v>
      </c>
      <c r="BB155" s="86" t="str">
        <f t="shared" si="76"/>
        <v>-</v>
      </c>
      <c r="BC155" s="86" t="str">
        <f t="shared" si="77"/>
        <v>-</v>
      </c>
      <c r="BD155" s="86" t="str">
        <f t="shared" si="78"/>
        <v>-</v>
      </c>
      <c r="BE155" s="86" t="str">
        <f t="shared" si="79"/>
        <v>-</v>
      </c>
      <c r="BF155" s="86" t="str">
        <f t="shared" si="80"/>
        <v>-</v>
      </c>
    </row>
    <row r="156" spans="1:58" x14ac:dyDescent="0.2">
      <c r="A156" s="80" t="s">
        <v>1144</v>
      </c>
      <c r="B156" s="92" t="s">
        <v>678</v>
      </c>
      <c r="C156" s="202">
        <v>18453626</v>
      </c>
      <c r="D156" s="203">
        <v>9</v>
      </c>
      <c r="E156" s="204" t="s">
        <v>1204</v>
      </c>
      <c r="F156" s="204" t="s">
        <v>1463</v>
      </c>
      <c r="G156" s="204" t="s">
        <v>1464</v>
      </c>
      <c r="H156" s="205" t="s">
        <v>663</v>
      </c>
      <c r="I156" s="205" t="s">
        <v>663</v>
      </c>
      <c r="J156" s="203">
        <v>80</v>
      </c>
      <c r="K156" s="204" t="s">
        <v>563</v>
      </c>
      <c r="L156" s="206" t="s">
        <v>516</v>
      </c>
      <c r="M156" s="210" t="s">
        <v>21</v>
      </c>
      <c r="N156" s="211">
        <v>45694</v>
      </c>
      <c r="O156" s="207">
        <v>2</v>
      </c>
      <c r="P156" s="203">
        <v>1</v>
      </c>
      <c r="Q156" s="205" t="s">
        <v>23</v>
      </c>
      <c r="R156" s="205" t="s">
        <v>11</v>
      </c>
      <c r="S156" s="205" t="s">
        <v>23</v>
      </c>
      <c r="T156" s="207">
        <v>2</v>
      </c>
      <c r="U156" s="208" t="s">
        <v>11</v>
      </c>
      <c r="V156" s="212" t="s">
        <v>19</v>
      </c>
      <c r="W156" s="212" t="s">
        <v>19</v>
      </c>
      <c r="X156" s="209">
        <v>38232</v>
      </c>
      <c r="Y156" s="213" t="s">
        <v>735</v>
      </c>
      <c r="Z156" s="209">
        <v>2</v>
      </c>
      <c r="AA156" s="209">
        <v>38232</v>
      </c>
      <c r="AB156" s="209">
        <v>38232</v>
      </c>
      <c r="AC156" s="178" t="str">
        <f>IF(OR(M156="13",M156="14",P156=8),"",IF(AND(OR(S156="AUTORIZADO", S156="PENDIENTE", S156="REDUCIDO", S156="AMPLIADO"),L156&lt;&gt;"HONORARIO" ), CONCATENATE(IF(H156="X","H",H156),"_",IF(OR(P156=5,P156=6),_xlfn.CONCAT(P156,"A"),P156),"_",VLOOKUP(T156,Datos!$B$2:$C$5,2,TRUE)),""))</f>
        <v>H_1_[hasta 3]</v>
      </c>
      <c r="AD156" s="178">
        <f t="shared" si="54"/>
        <v>76464</v>
      </c>
      <c r="AE156" s="82" t="str">
        <f t="shared" si="55"/>
        <v>-</v>
      </c>
      <c r="AF156" s="83" t="str">
        <f t="shared" si="56"/>
        <v>Revisar</v>
      </c>
      <c r="AG156" s="84"/>
      <c r="AH156" s="85" t="str">
        <f t="shared" si="57"/>
        <v>Corporación de Fomento de la Producción</v>
      </c>
      <c r="AI156" s="82" t="str">
        <f t="shared" si="58"/>
        <v>-</v>
      </c>
      <c r="AJ156" s="82">
        <f t="shared" si="59"/>
        <v>9</v>
      </c>
      <c r="AK156" s="82" t="str">
        <f t="shared" si="60"/>
        <v>-</v>
      </c>
      <c r="AL156" s="82" t="str">
        <f t="shared" si="61"/>
        <v>Identifica este registro como HOMBRE</v>
      </c>
      <c r="AM156" s="82" t="str">
        <f t="shared" si="62"/>
        <v>-</v>
      </c>
      <c r="AN156" s="82" t="str">
        <f t="shared" si="63"/>
        <v>-</v>
      </c>
      <c r="AO156" s="82" t="str">
        <f t="shared" si="64"/>
        <v>-</v>
      </c>
      <c r="AP156" s="57" t="str">
        <f t="shared" si="65"/>
        <v>-</v>
      </c>
      <c r="AQ156" s="86" t="str">
        <f t="shared" si="66"/>
        <v>-</v>
      </c>
      <c r="AR156" s="86" t="str">
        <f>IF(N156="","PRIMER_DIA en blanco",
IF(AND(M156="01",N156&gt;=L_Conversion!$C$118,N156&lt;=L_Conversion!$D$118),"-",
IF(AND(M156="02",N156&gt;=L_Conversion!$C$119,N156&lt;=L_Conversion!$D$119),"-",
IF(AND(M156="03",N156&gt;=L_Conversion!$C$120,N156&lt;=L_Conversion!$D$120),"-",
IF(AND(M156="04",N156&gt;=L_Conversion!$C$121,N156&lt;=L_Conversion!$D$121),"-",
IF(AND(M156="05",N156&gt;=L_Conversion!$C$122,N156&lt;=L_Conversion!$D$122),"-",
IF(AND(M156="06",N156&gt;=L_Conversion!$C$123,N156&lt;=L_Conversion!$D$123),"-",
IF(AND(M156="07",N156&gt;=L_Conversion!$C$124,N156&lt;=L_Conversion!$D$124),"-",
IF(AND(M156="08",N156&gt;=L_Conversion!$C$125,N156&lt;=L_Conversion!$D$125),"-",
IF(AND(M156="09",N156&gt;=L_Conversion!$C$126,N156&lt;=L_Conversion!$D$126),"-",
IF(AND(M156="10",N156&gt;=L_Conversion!$C$127,N156&lt;=L_Conversion!$D$127),"-",
IF(AND(M156="11",N156&gt;=L_Conversion!$C$128,N156&lt;=L_Conversion!$D$128),"-",
IF(AND(M156="12",N156&gt;=L_Conversion!$C$129,N156&lt;=L_Conversion!$D$129),"-",
IF(AND(M156="13",N156&gt;=L_Conversion!$C$116,N156&lt;=L_Conversion!$D$116),"-",
IF(AND(M156="14",N156&gt;=L_Conversion!$C$117,N156&lt;=L_Conversion!$D$117),"-",
"PRIMER_DIA fuera de rango")))))))))))))))</f>
        <v>-</v>
      </c>
      <c r="AS156" s="86" t="str">
        <f t="shared" si="67"/>
        <v>-</v>
      </c>
      <c r="AT156" s="86" t="str">
        <f t="shared" si="68"/>
        <v>-</v>
      </c>
      <c r="AU156" s="86" t="str">
        <f t="shared" si="69"/>
        <v>-</v>
      </c>
      <c r="AV156" s="86" t="str">
        <f t="shared" si="70"/>
        <v>-</v>
      </c>
      <c r="AW156" s="86" t="str">
        <f t="shared" si="71"/>
        <v>-</v>
      </c>
      <c r="AX156" s="86" t="str">
        <f t="shared" si="72"/>
        <v>-</v>
      </c>
      <c r="AY156" s="86" t="str">
        <f t="shared" si="73"/>
        <v>-</v>
      </c>
      <c r="AZ156" s="86" t="str">
        <f t="shared" si="74"/>
        <v>-</v>
      </c>
      <c r="BA156" s="86" t="str">
        <f t="shared" si="75"/>
        <v>-</v>
      </c>
      <c r="BB156" s="86" t="str">
        <f t="shared" si="76"/>
        <v>-</v>
      </c>
      <c r="BC156" s="86" t="str">
        <f t="shared" si="77"/>
        <v>-</v>
      </c>
      <c r="BD156" s="86" t="str">
        <f t="shared" si="78"/>
        <v>-</v>
      </c>
      <c r="BE156" s="86" t="str">
        <f t="shared" si="79"/>
        <v>-</v>
      </c>
      <c r="BF156" s="86" t="str">
        <f t="shared" si="80"/>
        <v>-</v>
      </c>
    </row>
    <row r="157" spans="1:58" x14ac:dyDescent="0.2">
      <c r="A157" s="19" t="s">
        <v>1144</v>
      </c>
      <c r="B157" s="19" t="s">
        <v>76</v>
      </c>
      <c r="C157" s="19">
        <v>16169813</v>
      </c>
      <c r="D157" s="81" t="s">
        <v>1151</v>
      </c>
      <c r="E157" s="19" t="s">
        <v>1465</v>
      </c>
      <c r="F157" s="19" t="s">
        <v>1466</v>
      </c>
      <c r="G157" s="19" t="s">
        <v>1467</v>
      </c>
      <c r="H157" s="19" t="s">
        <v>663</v>
      </c>
      <c r="I157" s="19" t="s">
        <v>663</v>
      </c>
      <c r="J157" s="19">
        <v>80</v>
      </c>
      <c r="K157" s="19" t="s">
        <v>563</v>
      </c>
      <c r="L157" s="19" t="s">
        <v>516</v>
      </c>
      <c r="M157" s="19" t="s">
        <v>21</v>
      </c>
      <c r="N157" s="19">
        <v>45695</v>
      </c>
      <c r="O157" s="19">
        <v>1</v>
      </c>
      <c r="P157" s="81">
        <v>1</v>
      </c>
      <c r="Q157" s="19" t="s">
        <v>23</v>
      </c>
      <c r="R157" s="19" t="s">
        <v>11</v>
      </c>
      <c r="S157" s="19" t="s">
        <v>23</v>
      </c>
      <c r="T157" s="19">
        <v>1</v>
      </c>
      <c r="U157" s="19" t="s">
        <v>11</v>
      </c>
      <c r="V157" s="19" t="s">
        <v>19</v>
      </c>
      <c r="W157" s="19" t="s">
        <v>19</v>
      </c>
      <c r="X157" s="19">
        <v>21648</v>
      </c>
      <c r="Y157" s="19" t="s">
        <v>735</v>
      </c>
      <c r="Z157" s="19">
        <v>1</v>
      </c>
      <c r="AA157" s="19">
        <v>21648</v>
      </c>
      <c r="AB157" s="19">
        <v>21648</v>
      </c>
      <c r="AC157" s="178" t="str">
        <f>IF(OR(M157="13",M157="14",P157=8),"",IF(AND(OR(S157="AUTORIZADO", S157="PENDIENTE", S157="REDUCIDO", S157="AMPLIADO"),L157&lt;&gt;"HONORARIO" ), CONCATENATE(IF(H157="X","H",H157),"_",IF(OR(P157=5,P157=6),_xlfn.CONCAT(P157,"A"),P157),"_",VLOOKUP(T157,Datos!$B$2:$C$5,2,TRUE)),""))</f>
        <v>H_1_[hasta 3]</v>
      </c>
      <c r="AD157" s="178">
        <f t="shared" ref="AD157:AD220" si="81">IF(AC157="",0,AA157+AB157)</f>
        <v>43296</v>
      </c>
      <c r="AE157" s="82" t="str">
        <f t="shared" ref="AE157:AE220" si="82">IF(A157="","Celda vacía",IF(A157="L","-","Revisar"))</f>
        <v>-</v>
      </c>
      <c r="AF157" s="83" t="str">
        <f t="shared" ref="AF157:AF220" si="83">IF(B157="","Celda vacía",IF(LEN(B157)=4,REPLACE(B157,1,6,CONCATENATE("00",B157)),IF(LEN(B157)=5,REPLACE(B157,1,6,CONCATENATE("0",B157)),IF(LEN(B157)=6,REPLACE(B157,1,6,B157),IF(AND(LEN(B157)&gt;6,OR(LEFT(B157,4)="1202", LEFT(B157,4)="1703")),REPLACE(B157,1,LEN(B157),B157),"Revisar")))))</f>
        <v>070601</v>
      </c>
      <c r="AG157" s="84"/>
      <c r="AH157" s="85" t="str">
        <f t="shared" ref="AH157:AH220" si="84">IF(B157="","Celda Vacía",IF(ISERROR(IF(B157="","",VLOOKUP(B157,Codigo,3,0))),"Corregir código servicio",IF(B157="","",VLOOKUP(B157,Codigo,3,0))))</f>
        <v>Corporación de Fomento de la Producción</v>
      </c>
      <c r="AI157" s="82" t="str">
        <f t="shared" ref="AI157:AI220" si="85">IF(C157="","Celda vacía",IF(C157&gt;1000000,"-","Revisar con Edad"))</f>
        <v>-</v>
      </c>
      <c r="AJ157" s="82" t="str">
        <f t="shared" ref="AJ157:AJ220" si="86">IF(D157="","Celda vacía",IF(IF(IF(LEN(C157)=6,(11-((RIGHT(C157,1)*2+MID(C157,5,1)*3+MID(C157,4,1)*4+MID(C157,3,1)*5+MID(C157,2,1)*6+LEFT(C157,1)*7)-(INT((RIGHT(C157,1)*2+MID(C157,5,1)*3+MID(C157,4,1)*4+MID(C157,3,1)*5+MID(C157,2,1)*6+LEFT(C157,1)*7)/11)*11))),IF(LEN(C157)=7,(11-((RIGHT(C157,1)*2+MID(C157,6,1)*3+MID(C157,5,1)*4+MID(C157,4,1)*5+MID(C157,3,1)*6+MID(C157,2,1)*7+LEFT(C157,1)*2)-(INT((RIGHT(C157,1)*2+MID(C157,6,1)*3+MID(C157,5,1)*4+MID(C157,4,1)*5+MID(C157,3,1)*6+MID(C157,2,1)*7+LEFT(C157,1)*2)/11)*11))),(11-((RIGHT(C157,1)*2+MID(C157,7,1)*3+MID(C157,6,1)*4+MID(C157,5,1)*5+MID(C157,4,1)*6+MID(C157,3,1)*7+MID(C157,2,1)*2+LEFT(C157,1)*3)-(INT((RIGHT(C157,1)*2+MID(C157,7,1)*3+MID(C157,6,1)*4+MID(C157,5,1)*5+MID(C157,4,1)*6+MID(C157,3,1)*7+MID(C157,2,1)*2+LEFT(C157,1)*3)/11)*11)))))=11,0,IF(LEN(C157)=6,(11-((RIGHT(C157,1)*2+MID(C157,5,1)*3+MID(C157,4,1)*4+MID(C157,3,1)*5+MID(C157,2,1)*6+LEFT(C157,1)*7)-(INT((RIGHT(C157,1)*2+MID(C157,5,1)*3+MID(C157,4,1)*4+MID(C157,3,1)*5+MID(C157,2,1)*6+LEFT(C157,1)*7)/11)*11))),IF(LEN(C157)=7,(11-((RIGHT(C157,1)*2+MID(C157,6,1)*3+MID(C157,5,1)*4+MID(C157,4,1)*5+MID(C157,3,1)*6+MID(C157,2,1)*7+LEFT(C157,1)*2)-(INT((RIGHT(C157,1)*2+MID(C157,6,1)*3+MID(C157,5,1)*4+MID(C157,4,1)*5+MID(C157,3,1)*6+MID(C157,2,1)*7+LEFT(C157,1)*2)/11)*11))),(11-((RIGHT(C157,1)*2+MID(C157,7,1)*3+MID(C157,6,1)*4+MID(C157,5,1)*5+MID(C157,4,1)*6+MID(C157,3,1)*7+MID(C157,2,1)*2+LEFT(C157,1)*3)-(INT((RIGHT(C157,1)*2+MID(C157,7,1)*3+MID(C157,6,1)*4+MID(C157,5,1)*5+MID(C157,4,1)*6+MID(C157,3,1)*7+MID(C157,2,1)*2+LEFT(C157,1)*3)/11)*11))))))=10,"K",IF(IF(LEN(C157)=6,(11-((RIGHT(C157,1)*2+MID(C157,5,1)*3+MID(C157,4,1)*4+MID(C157,3,1)*5+MID(C157,2,1)*6+LEFT(C157,1)*7)-(INT((RIGHT(C157,1)*2+MID(C157,5,1)*3+MID(C157,4,1)*4+MID(C157,3,1)*5+MID(C157,2,1)*6+LEFT(C157,1)*7)/11)*11))),IF(LEN(C157)=7,(11-((RIGHT(C157,1)*2+MID(C157,6,1)*3+MID(C157,5,1)*4+MID(C157,4,1)*5+MID(C157,3,1)*6+MID(C157,2,1)*7+LEFT(C157,1)*2)-(INT((RIGHT(C157,1)*2+MID(C157,6,1)*3+MID(C157,5,1)*4+MID(C157,4,1)*5+MID(C157,3,1)*6+MID(C157,2,1)*7+LEFT(C157,1)*2)/11)*11))),(11-((RIGHT(C157,1)*2+MID(C157,7,1)*3+MID(C157,6,1)*4+MID(C157,5,1)*5+MID(C157,4,1)*6+MID(C157,3,1)*7+MID(C157,2,1)*2+LEFT(C157,1)*3)-(INT((RIGHT(C157,1)*2+MID(C157,7,1)*3+MID(C157,6,1)*4+MID(C157,5,1)*5+MID(C157,4,1)*6+MID(C157,3,1)*7+MID(C157,2,1)*2+LEFT(C157,1)*3)/11)*11)))))=11,0,IF(LEN(C157)=6,(11-((RIGHT(C157,1)*2+MID(C157,5,1)*3+MID(C157,4,1)*4+MID(C157,3,1)*5+MID(C157,2,1)*6+LEFT(C157,1)*7)-(INT((RIGHT(C157,1)*2+MID(C157,5,1)*3+MID(C157,4,1)*4+MID(C157,3,1)*5+MID(C157,2,1)*6+LEFT(C157,1)*7)/11)*11))),IF(LEN(C157)=7,(11-((RIGHT(C157,1)*2+MID(C157,6,1)*3+MID(C157,5,1)*4+MID(C157,4,1)*5+MID(C157,3,1)*6+MID(C157,2,1)*7+LEFT(C157,1)*2)-(INT((RIGHT(C157,1)*2+MID(C157,6,1)*3+MID(C157,5,1)*4+MID(C157,4,1)*5+MID(C157,3,1)*6+MID(C157,2,1)*7+LEFT(C157,1)*2)/11)*11))),(11-((RIGHT(C157,1)*2+MID(C157,7,1)*3+MID(C157,6,1)*4+MID(C157,5,1)*5+MID(C157,4,1)*6+MID(C157,3,1)*7+MID(C157,2,1)*2+LEFT(C157,1)*3)-(INT((RIGHT(C157,1)*2+MID(C157,7,1)*3+MID(C157,6,1)*4+MID(C157,5,1)*5+MID(C157,4,1)*6+MID(C157,3,1)*7+MID(C157,2,1)*2+LEFT(C157,1)*3)/11)*11))))))))</f>
        <v>K</v>
      </c>
      <c r="AK157" s="82" t="str">
        <f t="shared" ref="AK157:AK220" si="87">IF(C157="","Celda vacía",IF(C157="E","-",IF(IF(AJ157=11,0,IF(AJ157=10,"K",AJ157))=D157,"-","Corregir RUN")))</f>
        <v>-</v>
      </c>
      <c r="AL157" s="82" t="str">
        <f t="shared" ref="AL157:AL220" si="88">IF(H157="","Celda vacía",IF(OR(H157="M",H157="H",H157="X"),  IF(H157="M", "Identifica este registro como MUJER",  IF(H157="H","Identifica este registro como HOMBRE", IF(H157="X","Identifica este registro como NO BINARIO"))),  "Validar con Tabla N°01")   )</f>
        <v>Identifica este registro como HOMBRE</v>
      </c>
      <c r="AM157" s="82" t="str">
        <f t="shared" ref="AM157:AM220" si="89">IF(I157="","Celda vacía",IF(ISERROR(VLOOKUP(I157,Tabla_27_Matriz_Base,1,0)),"Revisar","-"))</f>
        <v>-</v>
      </c>
      <c r="AN157" s="82" t="str">
        <f t="shared" ref="AN157:AN220" si="90">IF(J157="","Celda vacía",IF(ISERROR(VLOOKUP(J157,Tabla_04_Sist.Rem,1,0)),"Revisar","-"))</f>
        <v>-</v>
      </c>
      <c r="AO157" s="82" t="str">
        <f t="shared" ref="AO157:AO220" si="91">IF(J157="","SIST_REM vacío, no permite validar estamento",IF(OR(J157=10,J157=40,J157=60,J157=70),IF(ISERROR(VLOOKUP(K157,Tabla_06_10_40_60_70_EUS,1,0)),"Revisar. Estamento no corresponde a sist. Rem.","-"),
IF(AND(A157="l",J157=11,K157="DIRECTIVO"),"Dual",
IF(OR(J157=11,J157=12),IF(ISERROR(VLOOKUP(K157,Tabla_06_11_12_15076_19664,1,0)),"Revisar. Estamento no corresponde a sist. Rem.","-"),
IF(J157=13,IF(ISERROR(VLOOKUP(K157,Tabla_06_13,1,0)),"Revisar. Estamento no corresponde a sist. Rem.","-"),
IF(J157=14,IF(ISERROR(VLOOKUP(K157,Tabla_06_14,1,0)),"Revisar. Estamento no corresponde a sist. Rem.","-"),
IF(J157=15,IF(ISERROR(VLOOKUP(K157,Tabla_06_15,1,0)),"Revisar. Estamento no corresponde a sist. Rem.","-"),
IF(OR(J157=90),IF(ISERROR(VLOOKUP(K157,Tabla_06_90_Personal_Fuera_de_Dotacion,1,0)),"Revisar. Estamento no corresponde a sist. Rem.","-"),
IF(J157=61,IF(ISERROR(VLOOKUP(K157,Tabla_06_DFL29_61_Experimentales,1,0)),"Revisar. Estamento no corresponde a sist. Rem.","-"),IF(J157=20,IF(ISERROR(VLOOKUP(K157,Tabla_06_20_Fiscalizadores,1,0)),"Revisar. Estamento no corresponde a sist. Rem.","-"),IF(J157=80,IF(ISERROR(VLOOKUP(K157,Tabla_06_80_Codigo_del_Trabajo,1,0)),"Revisar. Estamento no corresponde a sist. Rem.","-"),                    IF(J157=30,IF(ISERROR(VLOOKUP(K157,Tabla_06_30_Poder_Judicial,1,0)),"Revisar. Estamento no corresponde a sist. Rem.","-"),IF(ISERROR(VLOOKUP(K157,Tabla_06_50_Ministerio_Publico,1,0)),"Revisar","-")))))))))))))</f>
        <v>-</v>
      </c>
      <c r="AP157" s="57" t="str">
        <f t="shared" ref="AP157:AP220" si="92">IF(L157="","Celda vacía",IF(ISERROR(VLOOKUP(L157,Tabla_Personal,1,0)),"Revisar","-"))</f>
        <v>-</v>
      </c>
      <c r="AQ157" s="86" t="str">
        <f t="shared" ref="AQ157:AQ220" si="93">IF(M157="","Celda vacía",IF(ISERROR(VLOOKUP(M157,Tabla_01_Mes,1,0)),"Revisar","-"))</f>
        <v>-</v>
      </c>
      <c r="AR157" s="86" t="str">
        <f>IF(N157="","PRIMER_DIA en blanco",
IF(AND(M157="01",N157&gt;=L_Conversion!$C$118,N157&lt;=L_Conversion!$D$118),"-",
IF(AND(M157="02",N157&gt;=L_Conversion!$C$119,N157&lt;=L_Conversion!$D$119),"-",
IF(AND(M157="03",N157&gt;=L_Conversion!$C$120,N157&lt;=L_Conversion!$D$120),"-",
IF(AND(M157="04",N157&gt;=L_Conversion!$C$121,N157&lt;=L_Conversion!$D$121),"-",
IF(AND(M157="05",N157&gt;=L_Conversion!$C$122,N157&lt;=L_Conversion!$D$122),"-",
IF(AND(M157="06",N157&gt;=L_Conversion!$C$123,N157&lt;=L_Conversion!$D$123),"-",
IF(AND(M157="07",N157&gt;=L_Conversion!$C$124,N157&lt;=L_Conversion!$D$124),"-",
IF(AND(M157="08",N157&gt;=L_Conversion!$C$125,N157&lt;=L_Conversion!$D$125),"-",
IF(AND(M157="09",N157&gt;=L_Conversion!$C$126,N157&lt;=L_Conversion!$D$126),"-",
IF(AND(M157="10",N157&gt;=L_Conversion!$C$127,N157&lt;=L_Conversion!$D$127),"-",
IF(AND(M157="11",N157&gt;=L_Conversion!$C$128,N157&lt;=L_Conversion!$D$128),"-",
IF(AND(M157="12",N157&gt;=L_Conversion!$C$129,N157&lt;=L_Conversion!$D$129),"-",
IF(AND(M157="13",N157&gt;=L_Conversion!$C$116,N157&lt;=L_Conversion!$D$116),"-",
IF(AND(M157="14",N157&gt;=L_Conversion!$C$117,N157&lt;=L_Conversion!$D$117),"-",
"PRIMER_DIA fuera de rango")))))))))))))))</f>
        <v>-</v>
      </c>
      <c r="AS157" s="86" t="str">
        <f t="shared" ref="AS157:AS220" si="94">IF(O157="","Celda vacía",IF(AND(ISERROR(VLOOKUP(P157,Tabla_18_Tipos_licencias,1,FALSE))=FALSE,O157&gt;=0,O157&lt;=365),IF(P157=8,IF(H157="M",IF(ISERROR(VLOOKUP(O157,Dias_Licencia_Tipo_8_M,1,0)),"Revisar días licencia tipo 8","-"),IF(ISERROR(VLOOKUP(O157,Dias_licencia_tipo_8_H,1,0)),"Revisar días licencia tipo 8","-")),"-"),"Se debe revisar los campos TIPO_LM y N_DIAS"))</f>
        <v>-</v>
      </c>
      <c r="AT157" s="86" t="str">
        <f t="shared" ref="AT157:AT220" si="95">IF(P157="","Celda vacía",IF(ISERROR(VLOOKUP(P157,Tabla_18_Tipos_licencias,1,FALSE))=FALSE,IF(H157="M","-",IF(P157=7,"Revisar","-")),"Revisar"))</f>
        <v>-</v>
      </c>
      <c r="AU157" s="86" t="str">
        <f t="shared" ref="AU157:AU220" si="96">IF(Q157="","Celda vacía",IF(AND(OR(L157="HAG",L157="HONORARIO"),OR(Q157="AUTORIZADO",Q157="REDUCIDO",Q157="RECHAZADO",Q157="PENDIENTE",Q157="AMPLIADO")),"Revisar Calidad Jurídica",IF(AND(OR(L157="HAG",L157="HONORARIO"),Q157="NC"),"-",IF(ISERROR(VLOOKUP(Q157,Tabla_04_Estado_Resolucion,1,0)),"Revisar",IF(AND(Q157="PENDIENTE",($BG$1-N157)&gt;60),"Validar estado PENDIENTE",  IF(AND(OR(L157="CONTRATA",L157="PLANTA", L157="CT", L157="JP", L157="JORNAL", L157="CONTRATA_FD", L157="CT_FD", L157="ADSCRITO", L157="LGN", L157="VIGILANTE", L157="BECARIOS", L157="PLANTA_FD"),Q157&lt;&gt;"NC"),"-","Revisar Calidad Jurídica"))))))</f>
        <v>-</v>
      </c>
      <c r="AV157" s="86" t="str">
        <f t="shared" ref="AV157:AV220" si="97">IF(R157="","Celda vacía",IF(AND(OR(Q157="AUTORIZADO",Q157="PENDIENTE",Q157="NC",Q157="AMPLIADO"),R157="N"),"-",IF(AND(OR(Q157="REDUCIDO",Q157="RECHAZADO"),OR(R157="S",R157="N")),"-","Revisar")))</f>
        <v>-</v>
      </c>
      <c r="AW157" s="86" t="str">
        <f t="shared" ref="AW157:AW220" si="98">IF(Q157="","Celda vacía",IF(AND(R157="N",Q157=S157),"-",IF(AND(S157="PENDIENTE",($BG$1-N157)&gt;60),"Validar estado PENDIENTE",IF(AND(R157="S",OR(S157="AUTORIZADO",S157="PENDIENTE"),T157=O157),"-",IF(AND(R157="S",S157="REDUCIDO",T157&lt;O157,T157&gt;0),"-",IF(AND(R157="S",S157="RECHAZADO",T157=0),"-",IF(AND(Q157="NC",S157="NC",T157=O157),"-","Revisar")))))))</f>
        <v>-</v>
      </c>
      <c r="AX157" s="86" t="str">
        <f t="shared" ref="AX157:AX220" si="99">IF(T157="","Celda Vacía",IF(AND(OR(S157="AUTORIZADO",S157="PENDIENTE",S157="NC"),O157=T157),"-",IF(AND(S157="REDUCIDO",T157&gt;0,T157&lt;O157),"-",IF(AND(S157="RECHAZADO",T157=0),"-",   IF(AND(S157="AMPLIADO",T157&gt;O157),"-",       "Revisar" )))))</f>
        <v>-</v>
      </c>
      <c r="AY157" s="86" t="str">
        <f t="shared" ref="AY157:AY220" si="100">IF(U157="","Celda vacía",IF(OR(U157="S",U157="N"),"-","Revisar"))</f>
        <v>-</v>
      </c>
      <c r="AZ157" s="86" t="str">
        <f t="shared" ref="AZ157:AZ220" si="101">IF(V157="","Celda vacía",IF(OR(V157="S",V157="N"),"-","Revisar"))</f>
        <v>-</v>
      </c>
      <c r="BA157" s="86" t="str">
        <f t="shared" ref="BA157:BA220" si="102">IF(W157="","Celda vacía",IF(OR(W157="S",W157="N"),"-","Revisar"))</f>
        <v>-</v>
      </c>
      <c r="BB157" s="86" t="str">
        <f t="shared" ref="BB157:BB220" si="103">IF(X157="","Celda Vacia",IF(  OR(          AND(X157=0,W157="S"),AND(X157&lt;&gt;0,W157="N")),"Revisar valor del campo MONTO_SUB","-"))</f>
        <v>-</v>
      </c>
      <c r="BC157" s="86" t="str">
        <f t="shared" ref="BC157:BC220" si="104">IF(Y157="","Celda Vacia",IF(ISERROR(VLOOKUP(Y157,Tabla_33_estado_recuperacion,1,FALSE)),"Se debe corregir el valor según Tabla Nro 33",IF(Y157="SDR",IF(OR(S157="RECHAZADO",W157="N"),"-","Se debe revisar  ESTADO SDR"),IF(Y157="PEN",IF(OR(S157="AUTORIZADO",S157="REDUCIDO",S157="PENDIENTE"),"-","Se debe revisar ESTADO PEN"),IF(AND(OR(W157="S",W157="N"),OR(Y157="TOT",Y157="PAR"),OR(S157="AUTORIZADO",S157="REDUCIDO")),"-","Revisar ER2 Y ESTADO_REC")))))</f>
        <v>-</v>
      </c>
      <c r="BD157" s="86" t="str">
        <f t="shared" ref="BD157:BD220" si="105">IF(Z157="","Celda Vacia", IF(Z157&gt;T157,"Dias recuperados no puede ser mayor a dias autorizados", IF(ISNUMBER(Z157)=TRUE,IF(Z157=0,IF(OR(Y157="SDR",Y157="PEN"),"-",IF(AND(T157&lt;4,OR(Y157="TOT",Y157="PAR")),"-","Se debe revisar los Campos N_DIAS_REC y ESTADO_REC")),IF(AND(Z157&gt;0,Z157&lt;366,OR(Y157="TOT",Y157="PAR")),"-","Se debe revisar los campos ESTADO_REC y N_DIAS_REC")),"Valor del campo N_DIAS_REC no es numérico"))    )</f>
        <v>-</v>
      </c>
      <c r="BE157" s="86" t="str">
        <f t="shared" ref="BE157:BE220" si="106">IF(AA157="","Celda vacia",
IF( AND(AA157=0,(OR(Y157="PEN",Y157="SDR"))),"-",
IF(AND(T157&lt;4,OR(P157="5A",P157="5B",P157="6A",P157="6B"),AA157&gt;=0),"-",
IF(AND(T157&lt;4,P157&lt;&gt;"5A",P157&lt;&gt;"5B",P157&lt;&gt;"6A",P157&lt;&gt;"6B",AA157=0),"-",
IF(AND(T157&lt;4,P157&lt;&gt;"5A",P157&lt;&gt;"5B",P157&lt;&gt;"6A",P157&lt;&gt;"6B",V157="S",AA157&gt;=0),"-",
IF(AND(T157&gt;=4,AA157&gt;0, OR(Y157="TOT",Y157="PAR")),"-",
"Revisar el tipo de licencia medica, dias de licencia para el monto de recuperación declarado"))))))</f>
        <v>-</v>
      </c>
      <c r="BF157" s="86" t="str">
        <f t="shared" ref="BF157:BF220" si="107">IF(AB157="","Celda vacia",IF(ISNUMBER(AB157)=TRUE,IF(AB157=0,IF(OR(Y157="PEN",Y157="SDR"),"-","revisar "),IF(OR(Y157="TOT",Y157="PAR"),"-","Revisar")),"Valor del campo no es numérico"))</f>
        <v>-</v>
      </c>
    </row>
    <row r="158" spans="1:58" x14ac:dyDescent="0.2">
      <c r="A158" s="19" t="s">
        <v>1144</v>
      </c>
      <c r="B158" s="19" t="s">
        <v>887</v>
      </c>
      <c r="C158" s="19">
        <v>17515937</v>
      </c>
      <c r="D158" s="81">
        <v>1</v>
      </c>
      <c r="E158" s="19" t="s">
        <v>1264</v>
      </c>
      <c r="F158" s="19" t="s">
        <v>1210</v>
      </c>
      <c r="G158" s="19" t="s">
        <v>1265</v>
      </c>
      <c r="H158" s="19" t="s">
        <v>663</v>
      </c>
      <c r="I158" s="19" t="s">
        <v>662</v>
      </c>
      <c r="J158" s="19">
        <v>80</v>
      </c>
      <c r="K158" s="19" t="s">
        <v>563</v>
      </c>
      <c r="L158" s="19" t="s">
        <v>502</v>
      </c>
      <c r="M158" s="19" t="s">
        <v>21</v>
      </c>
      <c r="N158" s="19">
        <v>45695</v>
      </c>
      <c r="O158" s="19">
        <v>1</v>
      </c>
      <c r="P158" s="81">
        <v>1</v>
      </c>
      <c r="Q158" s="19" t="s">
        <v>23</v>
      </c>
      <c r="R158" s="19" t="s">
        <v>11</v>
      </c>
      <c r="S158" s="19" t="s">
        <v>23</v>
      </c>
      <c r="T158" s="19">
        <v>1</v>
      </c>
      <c r="U158" s="19" t="s">
        <v>11</v>
      </c>
      <c r="V158" s="19" t="s">
        <v>19</v>
      </c>
      <c r="W158" s="19" t="s">
        <v>19</v>
      </c>
      <c r="X158" s="19">
        <v>21131</v>
      </c>
      <c r="Y158" s="19" t="s">
        <v>735</v>
      </c>
      <c r="Z158" s="19">
        <v>1</v>
      </c>
      <c r="AA158" s="19">
        <v>21131</v>
      </c>
      <c r="AB158" s="19">
        <v>21131</v>
      </c>
      <c r="AC158" s="178" t="str">
        <f>IF(OR(M158="13",M158="14",P158=8),"",IF(AND(OR(S158="AUTORIZADO", S158="PENDIENTE", S158="REDUCIDO", S158="AMPLIADO"),L158&lt;&gt;"HONORARIO" ), CONCATENATE(IF(H158="X","H",H158),"_",IF(OR(P158=5,P158=6),_xlfn.CONCAT(P158,"A"),P158),"_",VLOOKUP(T158,Datos!$B$2:$C$5,2,TRUE)),""))</f>
        <v>H_1_[hasta 3]</v>
      </c>
      <c r="AD158" s="178">
        <f t="shared" si="81"/>
        <v>42262</v>
      </c>
      <c r="AE158" s="82" t="str">
        <f t="shared" si="82"/>
        <v>-</v>
      </c>
      <c r="AF158" s="83" t="str">
        <f t="shared" si="83"/>
        <v>070607</v>
      </c>
      <c r="AG158" s="84"/>
      <c r="AH158" s="85" t="str">
        <f t="shared" si="84"/>
        <v>Corporación de Fomento de la Producción</v>
      </c>
      <c r="AI158" s="82" t="str">
        <f t="shared" si="85"/>
        <v>-</v>
      </c>
      <c r="AJ158" s="82">
        <f t="shared" si="86"/>
        <v>1</v>
      </c>
      <c r="AK158" s="82" t="str">
        <f t="shared" si="87"/>
        <v>-</v>
      </c>
      <c r="AL158" s="82" t="str">
        <f t="shared" si="88"/>
        <v>Identifica este registro como HOMBRE</v>
      </c>
      <c r="AM158" s="82" t="str">
        <f t="shared" si="89"/>
        <v>-</v>
      </c>
      <c r="AN158" s="82" t="str">
        <f t="shared" si="90"/>
        <v>-</v>
      </c>
      <c r="AO158" s="82" t="str">
        <f t="shared" si="91"/>
        <v>-</v>
      </c>
      <c r="AP158" s="57" t="str">
        <f t="shared" si="92"/>
        <v>-</v>
      </c>
      <c r="AQ158" s="86" t="str">
        <f t="shared" si="93"/>
        <v>-</v>
      </c>
      <c r="AR158" s="86" t="str">
        <f>IF(N158="","PRIMER_DIA en blanco",
IF(AND(M158="01",N158&gt;=L_Conversion!$C$118,N158&lt;=L_Conversion!$D$118),"-",
IF(AND(M158="02",N158&gt;=L_Conversion!$C$119,N158&lt;=L_Conversion!$D$119),"-",
IF(AND(M158="03",N158&gt;=L_Conversion!$C$120,N158&lt;=L_Conversion!$D$120),"-",
IF(AND(M158="04",N158&gt;=L_Conversion!$C$121,N158&lt;=L_Conversion!$D$121),"-",
IF(AND(M158="05",N158&gt;=L_Conversion!$C$122,N158&lt;=L_Conversion!$D$122),"-",
IF(AND(M158="06",N158&gt;=L_Conversion!$C$123,N158&lt;=L_Conversion!$D$123),"-",
IF(AND(M158="07",N158&gt;=L_Conversion!$C$124,N158&lt;=L_Conversion!$D$124),"-",
IF(AND(M158="08",N158&gt;=L_Conversion!$C$125,N158&lt;=L_Conversion!$D$125),"-",
IF(AND(M158="09",N158&gt;=L_Conversion!$C$126,N158&lt;=L_Conversion!$D$126),"-",
IF(AND(M158="10",N158&gt;=L_Conversion!$C$127,N158&lt;=L_Conversion!$D$127),"-",
IF(AND(M158="11",N158&gt;=L_Conversion!$C$128,N158&lt;=L_Conversion!$D$128),"-",
IF(AND(M158="12",N158&gt;=L_Conversion!$C$129,N158&lt;=L_Conversion!$D$129),"-",
IF(AND(M158="13",N158&gt;=L_Conversion!$C$116,N158&lt;=L_Conversion!$D$116),"-",
IF(AND(M158="14",N158&gt;=L_Conversion!$C$117,N158&lt;=L_Conversion!$D$117),"-",
"PRIMER_DIA fuera de rango")))))))))))))))</f>
        <v>-</v>
      </c>
      <c r="AS158" s="86" t="str">
        <f t="shared" si="94"/>
        <v>-</v>
      </c>
      <c r="AT158" s="86" t="str">
        <f t="shared" si="95"/>
        <v>-</v>
      </c>
      <c r="AU158" s="86" t="str">
        <f t="shared" si="96"/>
        <v>-</v>
      </c>
      <c r="AV158" s="86" t="str">
        <f t="shared" si="97"/>
        <v>-</v>
      </c>
      <c r="AW158" s="86" t="str">
        <f t="shared" si="98"/>
        <v>-</v>
      </c>
      <c r="AX158" s="86" t="str">
        <f t="shared" si="99"/>
        <v>-</v>
      </c>
      <c r="AY158" s="86" t="str">
        <f t="shared" si="100"/>
        <v>-</v>
      </c>
      <c r="AZ158" s="86" t="str">
        <f t="shared" si="101"/>
        <v>-</v>
      </c>
      <c r="BA158" s="86" t="str">
        <f t="shared" si="102"/>
        <v>-</v>
      </c>
      <c r="BB158" s="86" t="str">
        <f t="shared" si="103"/>
        <v>-</v>
      </c>
      <c r="BC158" s="86" t="str">
        <f t="shared" si="104"/>
        <v>-</v>
      </c>
      <c r="BD158" s="86" t="str">
        <f t="shared" si="105"/>
        <v>-</v>
      </c>
      <c r="BE158" s="86" t="str">
        <f t="shared" si="106"/>
        <v>-</v>
      </c>
      <c r="BF158" s="86" t="str">
        <f t="shared" si="107"/>
        <v>-</v>
      </c>
    </row>
    <row r="159" spans="1:58" x14ac:dyDescent="0.2">
      <c r="A159" s="19" t="s">
        <v>1144</v>
      </c>
      <c r="B159" s="19" t="s">
        <v>76</v>
      </c>
      <c r="C159" s="19">
        <v>18303226</v>
      </c>
      <c r="D159" s="81">
        <v>7</v>
      </c>
      <c r="E159" s="19" t="s">
        <v>1391</v>
      </c>
      <c r="F159" s="19" t="s">
        <v>1392</v>
      </c>
      <c r="G159" s="19" t="s">
        <v>1186</v>
      </c>
      <c r="H159" s="19" t="s">
        <v>1033</v>
      </c>
      <c r="I159" s="19" t="s">
        <v>662</v>
      </c>
      <c r="J159" s="19">
        <v>80</v>
      </c>
      <c r="K159" s="19" t="s">
        <v>567</v>
      </c>
      <c r="L159" s="19" t="s">
        <v>502</v>
      </c>
      <c r="M159" s="19" t="s">
        <v>21</v>
      </c>
      <c r="N159" s="19">
        <v>45696</v>
      </c>
      <c r="O159" s="19">
        <v>14</v>
      </c>
      <c r="P159" s="81">
        <v>1</v>
      </c>
      <c r="Q159" s="19" t="s">
        <v>23</v>
      </c>
      <c r="R159" s="19" t="s">
        <v>11</v>
      </c>
      <c r="S159" s="19" t="s">
        <v>23</v>
      </c>
      <c r="T159" s="19">
        <v>14</v>
      </c>
      <c r="U159" s="19" t="s">
        <v>11</v>
      </c>
      <c r="V159" s="19" t="s">
        <v>11</v>
      </c>
      <c r="W159" s="19" t="s">
        <v>19</v>
      </c>
      <c r="X159" s="19">
        <v>1105021</v>
      </c>
      <c r="Y159" s="19" t="s">
        <v>735</v>
      </c>
      <c r="Z159" s="19">
        <v>14</v>
      </c>
      <c r="AA159" s="19">
        <v>1105021</v>
      </c>
      <c r="AB159" s="19">
        <v>1105021</v>
      </c>
      <c r="AC159" s="178" t="str">
        <f>IF(OR(M159="13",M159="14",P159=8),"",IF(AND(OR(S159="AUTORIZADO", S159="PENDIENTE", S159="REDUCIDO", S159="AMPLIADO"),L159&lt;&gt;"HONORARIO" ), CONCATENATE(IF(H159="X","H",H159),"_",IF(OR(P159=5,P159=6),_xlfn.CONCAT(P159,"A"),P159),"_",VLOOKUP(T159,Datos!$B$2:$C$5,2,TRUE)),""))</f>
        <v>M_1_[11 +]</v>
      </c>
      <c r="AD159" s="178">
        <f t="shared" si="81"/>
        <v>2210042</v>
      </c>
      <c r="AE159" s="82" t="str">
        <f t="shared" si="82"/>
        <v>-</v>
      </c>
      <c r="AF159" s="83" t="str">
        <f t="shared" si="83"/>
        <v>070601</v>
      </c>
      <c r="AG159" s="84"/>
      <c r="AH159" s="85" t="str">
        <f t="shared" si="84"/>
        <v>Corporación de Fomento de la Producción</v>
      </c>
      <c r="AI159" s="82" t="str">
        <f t="shared" si="85"/>
        <v>-</v>
      </c>
      <c r="AJ159" s="82">
        <f t="shared" si="86"/>
        <v>7</v>
      </c>
      <c r="AK159" s="82" t="str">
        <f t="shared" si="87"/>
        <v>-</v>
      </c>
      <c r="AL159" s="82" t="str">
        <f t="shared" si="88"/>
        <v>Identifica este registro como MUJER</v>
      </c>
      <c r="AM159" s="82" t="str">
        <f t="shared" si="89"/>
        <v>-</v>
      </c>
      <c r="AN159" s="82" t="str">
        <f t="shared" si="90"/>
        <v>-</v>
      </c>
      <c r="AO159" s="82" t="str">
        <f t="shared" si="91"/>
        <v>-</v>
      </c>
      <c r="AP159" s="57" t="str">
        <f t="shared" si="92"/>
        <v>-</v>
      </c>
      <c r="AQ159" s="86" t="str">
        <f t="shared" si="93"/>
        <v>-</v>
      </c>
      <c r="AR159" s="86" t="str">
        <f>IF(N159="","PRIMER_DIA en blanco",
IF(AND(M159="01",N159&gt;=L_Conversion!$C$118,N159&lt;=L_Conversion!$D$118),"-",
IF(AND(M159="02",N159&gt;=L_Conversion!$C$119,N159&lt;=L_Conversion!$D$119),"-",
IF(AND(M159="03",N159&gt;=L_Conversion!$C$120,N159&lt;=L_Conversion!$D$120),"-",
IF(AND(M159="04",N159&gt;=L_Conversion!$C$121,N159&lt;=L_Conversion!$D$121),"-",
IF(AND(M159="05",N159&gt;=L_Conversion!$C$122,N159&lt;=L_Conversion!$D$122),"-",
IF(AND(M159="06",N159&gt;=L_Conversion!$C$123,N159&lt;=L_Conversion!$D$123),"-",
IF(AND(M159="07",N159&gt;=L_Conversion!$C$124,N159&lt;=L_Conversion!$D$124),"-",
IF(AND(M159="08",N159&gt;=L_Conversion!$C$125,N159&lt;=L_Conversion!$D$125),"-",
IF(AND(M159="09",N159&gt;=L_Conversion!$C$126,N159&lt;=L_Conversion!$D$126),"-",
IF(AND(M159="10",N159&gt;=L_Conversion!$C$127,N159&lt;=L_Conversion!$D$127),"-",
IF(AND(M159="11",N159&gt;=L_Conversion!$C$128,N159&lt;=L_Conversion!$D$128),"-",
IF(AND(M159="12",N159&gt;=L_Conversion!$C$129,N159&lt;=L_Conversion!$D$129),"-",
IF(AND(M159="13",N159&gt;=L_Conversion!$C$116,N159&lt;=L_Conversion!$D$116),"-",
IF(AND(M159="14",N159&gt;=L_Conversion!$C$117,N159&lt;=L_Conversion!$D$117),"-",
"PRIMER_DIA fuera de rango")))))))))))))))</f>
        <v>-</v>
      </c>
      <c r="AS159" s="86" t="str">
        <f t="shared" si="94"/>
        <v>-</v>
      </c>
      <c r="AT159" s="86" t="str">
        <f t="shared" si="95"/>
        <v>-</v>
      </c>
      <c r="AU159" s="86" t="str">
        <f t="shared" si="96"/>
        <v>-</v>
      </c>
      <c r="AV159" s="86" t="str">
        <f t="shared" si="97"/>
        <v>-</v>
      </c>
      <c r="AW159" s="86" t="str">
        <f t="shared" si="98"/>
        <v>-</v>
      </c>
      <c r="AX159" s="86" t="str">
        <f t="shared" si="99"/>
        <v>-</v>
      </c>
      <c r="AY159" s="86" t="str">
        <f t="shared" si="100"/>
        <v>-</v>
      </c>
      <c r="AZ159" s="86" t="str">
        <f t="shared" si="101"/>
        <v>-</v>
      </c>
      <c r="BA159" s="86" t="str">
        <f t="shared" si="102"/>
        <v>-</v>
      </c>
      <c r="BB159" s="86" t="str">
        <f t="shared" si="103"/>
        <v>-</v>
      </c>
      <c r="BC159" s="86" t="str">
        <f t="shared" si="104"/>
        <v>-</v>
      </c>
      <c r="BD159" s="86" t="str">
        <f t="shared" si="105"/>
        <v>-</v>
      </c>
      <c r="BE159" s="86" t="str">
        <f t="shared" si="106"/>
        <v>-</v>
      </c>
      <c r="BF159" s="86" t="str">
        <f t="shared" si="107"/>
        <v>-</v>
      </c>
    </row>
    <row r="160" spans="1:58" x14ac:dyDescent="0.2">
      <c r="A160" s="19" t="s">
        <v>1144</v>
      </c>
      <c r="B160" s="19" t="s">
        <v>76</v>
      </c>
      <c r="C160" s="19">
        <v>9124197</v>
      </c>
      <c r="D160" s="81">
        <v>8</v>
      </c>
      <c r="E160" s="19" t="s">
        <v>1152</v>
      </c>
      <c r="F160" s="19" t="s">
        <v>1181</v>
      </c>
      <c r="G160" s="19" t="s">
        <v>1431</v>
      </c>
      <c r="H160" s="19" t="s">
        <v>1033</v>
      </c>
      <c r="I160" s="19" t="s">
        <v>662</v>
      </c>
      <c r="J160" s="19">
        <v>80</v>
      </c>
      <c r="K160" s="19" t="s">
        <v>567</v>
      </c>
      <c r="L160" s="19" t="s">
        <v>502</v>
      </c>
      <c r="M160" s="19" t="s">
        <v>21</v>
      </c>
      <c r="N160" s="19">
        <v>45698</v>
      </c>
      <c r="O160" s="19">
        <v>1</v>
      </c>
      <c r="P160" s="81">
        <v>1</v>
      </c>
      <c r="Q160" s="19" t="s">
        <v>23</v>
      </c>
      <c r="R160" s="19" t="s">
        <v>11</v>
      </c>
      <c r="S160" s="19" t="s">
        <v>23</v>
      </c>
      <c r="T160" s="19">
        <v>1</v>
      </c>
      <c r="U160" s="19" t="s">
        <v>11</v>
      </c>
      <c r="V160" s="19" t="s">
        <v>19</v>
      </c>
      <c r="W160" s="19" t="s">
        <v>19</v>
      </c>
      <c r="X160" s="19">
        <v>11674</v>
      </c>
      <c r="Y160" s="19" t="s">
        <v>735</v>
      </c>
      <c r="Z160" s="19">
        <v>1</v>
      </c>
      <c r="AA160" s="19">
        <v>11674</v>
      </c>
      <c r="AB160" s="19">
        <v>11674</v>
      </c>
      <c r="AC160" s="178" t="str">
        <f>IF(OR(M160="13",M160="14",P160=8),"",IF(AND(OR(S160="AUTORIZADO", S160="PENDIENTE", S160="REDUCIDO", S160="AMPLIADO"),L160&lt;&gt;"HONORARIO" ), CONCATENATE(IF(H160="X","H",H160),"_",IF(OR(P160=5,P160=6),_xlfn.CONCAT(P160,"A"),P160),"_",VLOOKUP(T160,Datos!$B$2:$C$5,2,TRUE)),""))</f>
        <v>M_1_[hasta 3]</v>
      </c>
      <c r="AD160" s="178">
        <f t="shared" si="81"/>
        <v>23348</v>
      </c>
      <c r="AE160" s="82" t="str">
        <f t="shared" si="82"/>
        <v>-</v>
      </c>
      <c r="AF160" s="83" t="str">
        <f t="shared" si="83"/>
        <v>070601</v>
      </c>
      <c r="AG160" s="84"/>
      <c r="AH160" s="85" t="str">
        <f t="shared" si="84"/>
        <v>Corporación de Fomento de la Producción</v>
      </c>
      <c r="AI160" s="82" t="str">
        <f t="shared" si="85"/>
        <v>-</v>
      </c>
      <c r="AJ160" s="82">
        <f t="shared" si="86"/>
        <v>8</v>
      </c>
      <c r="AK160" s="82" t="str">
        <f t="shared" si="87"/>
        <v>-</v>
      </c>
      <c r="AL160" s="82" t="str">
        <f t="shared" si="88"/>
        <v>Identifica este registro como MUJER</v>
      </c>
      <c r="AM160" s="82" t="str">
        <f t="shared" si="89"/>
        <v>-</v>
      </c>
      <c r="AN160" s="82" t="str">
        <f t="shared" si="90"/>
        <v>-</v>
      </c>
      <c r="AO160" s="82" t="str">
        <f t="shared" si="91"/>
        <v>-</v>
      </c>
      <c r="AP160" s="57" t="str">
        <f t="shared" si="92"/>
        <v>-</v>
      </c>
      <c r="AQ160" s="86" t="str">
        <f t="shared" si="93"/>
        <v>-</v>
      </c>
      <c r="AR160" s="86" t="str">
        <f>IF(N160="","PRIMER_DIA en blanco",
IF(AND(M160="01",N160&gt;=L_Conversion!$C$118,N160&lt;=L_Conversion!$D$118),"-",
IF(AND(M160="02",N160&gt;=L_Conversion!$C$119,N160&lt;=L_Conversion!$D$119),"-",
IF(AND(M160="03",N160&gt;=L_Conversion!$C$120,N160&lt;=L_Conversion!$D$120),"-",
IF(AND(M160="04",N160&gt;=L_Conversion!$C$121,N160&lt;=L_Conversion!$D$121),"-",
IF(AND(M160="05",N160&gt;=L_Conversion!$C$122,N160&lt;=L_Conversion!$D$122),"-",
IF(AND(M160="06",N160&gt;=L_Conversion!$C$123,N160&lt;=L_Conversion!$D$123),"-",
IF(AND(M160="07",N160&gt;=L_Conversion!$C$124,N160&lt;=L_Conversion!$D$124),"-",
IF(AND(M160="08",N160&gt;=L_Conversion!$C$125,N160&lt;=L_Conversion!$D$125),"-",
IF(AND(M160="09",N160&gt;=L_Conversion!$C$126,N160&lt;=L_Conversion!$D$126),"-",
IF(AND(M160="10",N160&gt;=L_Conversion!$C$127,N160&lt;=L_Conversion!$D$127),"-",
IF(AND(M160="11",N160&gt;=L_Conversion!$C$128,N160&lt;=L_Conversion!$D$128),"-",
IF(AND(M160="12",N160&gt;=L_Conversion!$C$129,N160&lt;=L_Conversion!$D$129),"-",
IF(AND(M160="13",N160&gt;=L_Conversion!$C$116,N160&lt;=L_Conversion!$D$116),"-",
IF(AND(M160="14",N160&gt;=L_Conversion!$C$117,N160&lt;=L_Conversion!$D$117),"-",
"PRIMER_DIA fuera de rango")))))))))))))))</f>
        <v>-</v>
      </c>
      <c r="AS160" s="86" t="str">
        <f t="shared" si="94"/>
        <v>-</v>
      </c>
      <c r="AT160" s="86" t="str">
        <f t="shared" si="95"/>
        <v>-</v>
      </c>
      <c r="AU160" s="86" t="str">
        <f t="shared" si="96"/>
        <v>-</v>
      </c>
      <c r="AV160" s="86" t="str">
        <f t="shared" si="97"/>
        <v>-</v>
      </c>
      <c r="AW160" s="86" t="str">
        <f t="shared" si="98"/>
        <v>-</v>
      </c>
      <c r="AX160" s="86" t="str">
        <f t="shared" si="99"/>
        <v>-</v>
      </c>
      <c r="AY160" s="86" t="str">
        <f t="shared" si="100"/>
        <v>-</v>
      </c>
      <c r="AZ160" s="86" t="str">
        <f t="shared" si="101"/>
        <v>-</v>
      </c>
      <c r="BA160" s="86" t="str">
        <f t="shared" si="102"/>
        <v>-</v>
      </c>
      <c r="BB160" s="86" t="str">
        <f t="shared" si="103"/>
        <v>-</v>
      </c>
      <c r="BC160" s="86" t="str">
        <f t="shared" si="104"/>
        <v>-</v>
      </c>
      <c r="BD160" s="86" t="str">
        <f t="shared" si="105"/>
        <v>-</v>
      </c>
      <c r="BE160" s="86" t="str">
        <f t="shared" si="106"/>
        <v>-</v>
      </c>
      <c r="BF160" s="86" t="str">
        <f t="shared" si="107"/>
        <v>-</v>
      </c>
    </row>
    <row r="161" spans="1:58" x14ac:dyDescent="0.2">
      <c r="A161" s="19" t="s">
        <v>1144</v>
      </c>
      <c r="B161" s="19" t="s">
        <v>76</v>
      </c>
      <c r="C161" s="19">
        <v>13133772</v>
      </c>
      <c r="D161" s="81">
        <v>8</v>
      </c>
      <c r="E161" s="19" t="s">
        <v>1190</v>
      </c>
      <c r="F161" s="19" t="s">
        <v>1418</v>
      </c>
      <c r="G161" s="19" t="s">
        <v>1178</v>
      </c>
      <c r="H161" s="19" t="s">
        <v>663</v>
      </c>
      <c r="I161" s="19" t="s">
        <v>662</v>
      </c>
      <c r="J161" s="19">
        <v>80</v>
      </c>
      <c r="K161" s="19" t="s">
        <v>567</v>
      </c>
      <c r="L161" s="19" t="s">
        <v>502</v>
      </c>
      <c r="M161" s="19" t="s">
        <v>21</v>
      </c>
      <c r="N161" s="19">
        <v>45698</v>
      </c>
      <c r="O161" s="19">
        <v>3</v>
      </c>
      <c r="P161" s="81">
        <v>1</v>
      </c>
      <c r="Q161" s="19" t="s">
        <v>23</v>
      </c>
      <c r="R161" s="19" t="s">
        <v>11</v>
      </c>
      <c r="S161" s="19" t="s">
        <v>23</v>
      </c>
      <c r="T161" s="19">
        <v>3</v>
      </c>
      <c r="U161" s="19" t="s">
        <v>11</v>
      </c>
      <c r="V161" s="19" t="s">
        <v>19</v>
      </c>
      <c r="W161" s="19" t="s">
        <v>19</v>
      </c>
      <c r="X161" s="19">
        <v>22294</v>
      </c>
      <c r="Y161" s="19" t="s">
        <v>735</v>
      </c>
      <c r="Z161" s="19">
        <v>3</v>
      </c>
      <c r="AA161" s="19">
        <v>22294</v>
      </c>
      <c r="AB161" s="19">
        <v>22294</v>
      </c>
      <c r="AC161" s="178" t="str">
        <f>IF(OR(M161="13",M161="14",P161=8),"",IF(AND(OR(S161="AUTORIZADO", S161="PENDIENTE", S161="REDUCIDO", S161="AMPLIADO"),L161&lt;&gt;"HONORARIO" ), CONCATENATE(IF(H161="X","H",H161),"_",IF(OR(P161=5,P161=6),_xlfn.CONCAT(P161,"A"),P161),"_",VLOOKUP(T161,Datos!$B$2:$C$5,2,TRUE)),""))</f>
        <v>H_1_[hasta 3]</v>
      </c>
      <c r="AD161" s="178">
        <f t="shared" si="81"/>
        <v>44588</v>
      </c>
      <c r="AE161" s="82" t="str">
        <f t="shared" si="82"/>
        <v>-</v>
      </c>
      <c r="AF161" s="83" t="str">
        <f t="shared" si="83"/>
        <v>070601</v>
      </c>
      <c r="AG161" s="84"/>
      <c r="AH161" s="85" t="str">
        <f t="shared" si="84"/>
        <v>Corporación de Fomento de la Producción</v>
      </c>
      <c r="AI161" s="82" t="str">
        <f t="shared" si="85"/>
        <v>-</v>
      </c>
      <c r="AJ161" s="82">
        <f t="shared" si="86"/>
        <v>8</v>
      </c>
      <c r="AK161" s="82" t="str">
        <f t="shared" si="87"/>
        <v>-</v>
      </c>
      <c r="AL161" s="82" t="str">
        <f t="shared" si="88"/>
        <v>Identifica este registro como HOMBRE</v>
      </c>
      <c r="AM161" s="82" t="str">
        <f t="shared" si="89"/>
        <v>-</v>
      </c>
      <c r="AN161" s="82" t="str">
        <f t="shared" si="90"/>
        <v>-</v>
      </c>
      <c r="AO161" s="82" t="str">
        <f t="shared" si="91"/>
        <v>-</v>
      </c>
      <c r="AP161" s="57" t="str">
        <f t="shared" si="92"/>
        <v>-</v>
      </c>
      <c r="AQ161" s="86" t="str">
        <f t="shared" si="93"/>
        <v>-</v>
      </c>
      <c r="AR161" s="86" t="str">
        <f>IF(N161="","PRIMER_DIA en blanco",
IF(AND(M161="01",N161&gt;=L_Conversion!$C$118,N161&lt;=L_Conversion!$D$118),"-",
IF(AND(M161="02",N161&gt;=L_Conversion!$C$119,N161&lt;=L_Conversion!$D$119),"-",
IF(AND(M161="03",N161&gt;=L_Conversion!$C$120,N161&lt;=L_Conversion!$D$120),"-",
IF(AND(M161="04",N161&gt;=L_Conversion!$C$121,N161&lt;=L_Conversion!$D$121),"-",
IF(AND(M161="05",N161&gt;=L_Conversion!$C$122,N161&lt;=L_Conversion!$D$122),"-",
IF(AND(M161="06",N161&gt;=L_Conversion!$C$123,N161&lt;=L_Conversion!$D$123),"-",
IF(AND(M161="07",N161&gt;=L_Conversion!$C$124,N161&lt;=L_Conversion!$D$124),"-",
IF(AND(M161="08",N161&gt;=L_Conversion!$C$125,N161&lt;=L_Conversion!$D$125),"-",
IF(AND(M161="09",N161&gt;=L_Conversion!$C$126,N161&lt;=L_Conversion!$D$126),"-",
IF(AND(M161="10",N161&gt;=L_Conversion!$C$127,N161&lt;=L_Conversion!$D$127),"-",
IF(AND(M161="11",N161&gt;=L_Conversion!$C$128,N161&lt;=L_Conversion!$D$128),"-",
IF(AND(M161="12",N161&gt;=L_Conversion!$C$129,N161&lt;=L_Conversion!$D$129),"-",
IF(AND(M161="13",N161&gt;=L_Conversion!$C$116,N161&lt;=L_Conversion!$D$116),"-",
IF(AND(M161="14",N161&gt;=L_Conversion!$C$117,N161&lt;=L_Conversion!$D$117),"-",
"PRIMER_DIA fuera de rango")))))))))))))))</f>
        <v>-</v>
      </c>
      <c r="AS161" s="86" t="str">
        <f t="shared" si="94"/>
        <v>-</v>
      </c>
      <c r="AT161" s="86" t="str">
        <f t="shared" si="95"/>
        <v>-</v>
      </c>
      <c r="AU161" s="86" t="str">
        <f t="shared" si="96"/>
        <v>-</v>
      </c>
      <c r="AV161" s="86" t="str">
        <f t="shared" si="97"/>
        <v>-</v>
      </c>
      <c r="AW161" s="86" t="str">
        <f t="shared" si="98"/>
        <v>-</v>
      </c>
      <c r="AX161" s="86" t="str">
        <f t="shared" si="99"/>
        <v>-</v>
      </c>
      <c r="AY161" s="86" t="str">
        <f t="shared" si="100"/>
        <v>-</v>
      </c>
      <c r="AZ161" s="86" t="str">
        <f t="shared" si="101"/>
        <v>-</v>
      </c>
      <c r="BA161" s="86" t="str">
        <f t="shared" si="102"/>
        <v>-</v>
      </c>
      <c r="BB161" s="86" t="str">
        <f t="shared" si="103"/>
        <v>-</v>
      </c>
      <c r="BC161" s="86" t="str">
        <f t="shared" si="104"/>
        <v>-</v>
      </c>
      <c r="BD161" s="86" t="str">
        <f t="shared" si="105"/>
        <v>-</v>
      </c>
      <c r="BE161" s="86" t="str">
        <f t="shared" si="106"/>
        <v>-</v>
      </c>
      <c r="BF161" s="86" t="str">
        <f t="shared" si="107"/>
        <v>-</v>
      </c>
    </row>
    <row r="162" spans="1:58" x14ac:dyDescent="0.2">
      <c r="A162" s="19" t="s">
        <v>1144</v>
      </c>
      <c r="B162" s="19" t="s">
        <v>76</v>
      </c>
      <c r="C162" s="19">
        <v>12927914</v>
      </c>
      <c r="D162" s="81">
        <v>1</v>
      </c>
      <c r="E162" s="19" t="s">
        <v>1468</v>
      </c>
      <c r="F162" s="19" t="s">
        <v>1469</v>
      </c>
      <c r="G162" s="19" t="s">
        <v>1470</v>
      </c>
      <c r="H162" s="19" t="s">
        <v>1033</v>
      </c>
      <c r="I162" s="19" t="s">
        <v>663</v>
      </c>
      <c r="J162" s="19">
        <v>80</v>
      </c>
      <c r="K162" s="19" t="s">
        <v>563</v>
      </c>
      <c r="L162" s="19" t="s">
        <v>516</v>
      </c>
      <c r="M162" s="19" t="s">
        <v>21</v>
      </c>
      <c r="N162" s="19">
        <v>45698</v>
      </c>
      <c r="O162" s="19">
        <v>3</v>
      </c>
      <c r="P162" s="81">
        <v>1</v>
      </c>
      <c r="Q162" s="19" t="s">
        <v>23</v>
      </c>
      <c r="R162" s="19" t="s">
        <v>11</v>
      </c>
      <c r="S162" s="19" t="s">
        <v>23</v>
      </c>
      <c r="T162" s="19">
        <v>3</v>
      </c>
      <c r="U162" s="19" t="s">
        <v>11</v>
      </c>
      <c r="V162" s="19" t="s">
        <v>19</v>
      </c>
      <c r="W162" s="19" t="s">
        <v>19</v>
      </c>
      <c r="X162" s="19">
        <v>44414</v>
      </c>
      <c r="Y162" s="19" t="s">
        <v>735</v>
      </c>
      <c r="Z162" s="19">
        <v>3</v>
      </c>
      <c r="AA162" s="19">
        <v>44414</v>
      </c>
      <c r="AB162" s="19">
        <v>44414</v>
      </c>
      <c r="AC162" s="178" t="str">
        <f>IF(OR(M162="13",M162="14",P162=8),"",IF(AND(OR(S162="AUTORIZADO", S162="PENDIENTE", S162="REDUCIDO", S162="AMPLIADO"),L162&lt;&gt;"HONORARIO" ), CONCATENATE(IF(H162="X","H",H162),"_",IF(OR(P162=5,P162=6),_xlfn.CONCAT(P162,"A"),P162),"_",VLOOKUP(T162,Datos!$B$2:$C$5,2,TRUE)),""))</f>
        <v>M_1_[hasta 3]</v>
      </c>
      <c r="AD162" s="178">
        <f t="shared" si="81"/>
        <v>88828</v>
      </c>
      <c r="AE162" s="82" t="str">
        <f t="shared" si="82"/>
        <v>-</v>
      </c>
      <c r="AF162" s="83" t="str">
        <f t="shared" si="83"/>
        <v>070601</v>
      </c>
      <c r="AG162" s="84"/>
      <c r="AH162" s="85" t="str">
        <f t="shared" si="84"/>
        <v>Corporación de Fomento de la Producción</v>
      </c>
      <c r="AI162" s="82" t="str">
        <f t="shared" si="85"/>
        <v>-</v>
      </c>
      <c r="AJ162" s="82">
        <f t="shared" si="86"/>
        <v>1</v>
      </c>
      <c r="AK162" s="82" t="str">
        <f t="shared" si="87"/>
        <v>-</v>
      </c>
      <c r="AL162" s="82" t="str">
        <f t="shared" si="88"/>
        <v>Identifica este registro como MUJER</v>
      </c>
      <c r="AM162" s="82" t="str">
        <f t="shared" si="89"/>
        <v>-</v>
      </c>
      <c r="AN162" s="82" t="str">
        <f t="shared" si="90"/>
        <v>-</v>
      </c>
      <c r="AO162" s="82" t="str">
        <f t="shared" si="91"/>
        <v>-</v>
      </c>
      <c r="AP162" s="57" t="str">
        <f t="shared" si="92"/>
        <v>-</v>
      </c>
      <c r="AQ162" s="86" t="str">
        <f t="shared" si="93"/>
        <v>-</v>
      </c>
      <c r="AR162" s="86" t="str">
        <f>IF(N162="","PRIMER_DIA en blanco",
IF(AND(M162="01",N162&gt;=L_Conversion!$C$118,N162&lt;=L_Conversion!$D$118),"-",
IF(AND(M162="02",N162&gt;=L_Conversion!$C$119,N162&lt;=L_Conversion!$D$119),"-",
IF(AND(M162="03",N162&gt;=L_Conversion!$C$120,N162&lt;=L_Conversion!$D$120),"-",
IF(AND(M162="04",N162&gt;=L_Conversion!$C$121,N162&lt;=L_Conversion!$D$121),"-",
IF(AND(M162="05",N162&gt;=L_Conversion!$C$122,N162&lt;=L_Conversion!$D$122),"-",
IF(AND(M162="06",N162&gt;=L_Conversion!$C$123,N162&lt;=L_Conversion!$D$123),"-",
IF(AND(M162="07",N162&gt;=L_Conversion!$C$124,N162&lt;=L_Conversion!$D$124),"-",
IF(AND(M162="08",N162&gt;=L_Conversion!$C$125,N162&lt;=L_Conversion!$D$125),"-",
IF(AND(M162="09",N162&gt;=L_Conversion!$C$126,N162&lt;=L_Conversion!$D$126),"-",
IF(AND(M162="10",N162&gt;=L_Conversion!$C$127,N162&lt;=L_Conversion!$D$127),"-",
IF(AND(M162="11",N162&gt;=L_Conversion!$C$128,N162&lt;=L_Conversion!$D$128),"-",
IF(AND(M162="12",N162&gt;=L_Conversion!$C$129,N162&lt;=L_Conversion!$D$129),"-",
IF(AND(M162="13",N162&gt;=L_Conversion!$C$116,N162&lt;=L_Conversion!$D$116),"-",
IF(AND(M162="14",N162&gt;=L_Conversion!$C$117,N162&lt;=L_Conversion!$D$117),"-",
"PRIMER_DIA fuera de rango")))))))))))))))</f>
        <v>-</v>
      </c>
      <c r="AS162" s="86" t="str">
        <f t="shared" si="94"/>
        <v>-</v>
      </c>
      <c r="AT162" s="86" t="str">
        <f t="shared" si="95"/>
        <v>-</v>
      </c>
      <c r="AU162" s="86" t="str">
        <f t="shared" si="96"/>
        <v>-</v>
      </c>
      <c r="AV162" s="86" t="str">
        <f t="shared" si="97"/>
        <v>-</v>
      </c>
      <c r="AW162" s="86" t="str">
        <f t="shared" si="98"/>
        <v>-</v>
      </c>
      <c r="AX162" s="86" t="str">
        <f t="shared" si="99"/>
        <v>-</v>
      </c>
      <c r="AY162" s="86" t="str">
        <f t="shared" si="100"/>
        <v>-</v>
      </c>
      <c r="AZ162" s="86" t="str">
        <f t="shared" si="101"/>
        <v>-</v>
      </c>
      <c r="BA162" s="86" t="str">
        <f t="shared" si="102"/>
        <v>-</v>
      </c>
      <c r="BB162" s="86" t="str">
        <f t="shared" si="103"/>
        <v>-</v>
      </c>
      <c r="BC162" s="86" t="str">
        <f t="shared" si="104"/>
        <v>-</v>
      </c>
      <c r="BD162" s="86" t="str">
        <f t="shared" si="105"/>
        <v>-</v>
      </c>
      <c r="BE162" s="86" t="str">
        <f t="shared" si="106"/>
        <v>-</v>
      </c>
      <c r="BF162" s="86" t="str">
        <f t="shared" si="107"/>
        <v>-</v>
      </c>
    </row>
    <row r="163" spans="1:58" x14ac:dyDescent="0.2">
      <c r="A163" s="19" t="s">
        <v>1144</v>
      </c>
      <c r="B163" s="19" t="s">
        <v>678</v>
      </c>
      <c r="C163" s="19">
        <v>17698936</v>
      </c>
      <c r="D163" s="81" t="s">
        <v>1151</v>
      </c>
      <c r="E163" s="19" t="s">
        <v>1471</v>
      </c>
      <c r="F163" s="19" t="s">
        <v>1172</v>
      </c>
      <c r="G163" s="19" t="s">
        <v>1472</v>
      </c>
      <c r="H163" s="19" t="s">
        <v>1033</v>
      </c>
      <c r="I163" s="19" t="s">
        <v>663</v>
      </c>
      <c r="J163" s="19">
        <v>80</v>
      </c>
      <c r="K163" s="19" t="s">
        <v>563</v>
      </c>
      <c r="L163" s="19" t="s">
        <v>516</v>
      </c>
      <c r="M163" s="19" t="s">
        <v>21</v>
      </c>
      <c r="N163" s="19">
        <v>45698</v>
      </c>
      <c r="O163" s="19">
        <v>2</v>
      </c>
      <c r="P163" s="81">
        <v>2</v>
      </c>
      <c r="Q163" s="19" t="s">
        <v>23</v>
      </c>
      <c r="R163" s="19" t="s">
        <v>11</v>
      </c>
      <c r="S163" s="19" t="s">
        <v>23</v>
      </c>
      <c r="T163" s="19">
        <v>2</v>
      </c>
      <c r="U163" s="19" t="s">
        <v>11</v>
      </c>
      <c r="V163" s="19" t="s">
        <v>19</v>
      </c>
      <c r="W163" s="19" t="s">
        <v>19</v>
      </c>
      <c r="X163" s="19">
        <v>30921</v>
      </c>
      <c r="Y163" s="19" t="s">
        <v>735</v>
      </c>
      <c r="Z163" s="19">
        <v>2</v>
      </c>
      <c r="AA163" s="19">
        <v>30921</v>
      </c>
      <c r="AB163" s="19">
        <v>30921</v>
      </c>
      <c r="AC163" s="178" t="str">
        <f>IF(OR(M163="13",M163="14",P163=8),"",IF(AND(OR(S163="AUTORIZADO", S163="PENDIENTE", S163="REDUCIDO", S163="AMPLIADO"),L163&lt;&gt;"HONORARIO" ), CONCATENATE(IF(H163="X","H",H163),"_",IF(OR(P163=5,P163=6),_xlfn.CONCAT(P163,"A"),P163),"_",VLOOKUP(T163,Datos!$B$2:$C$5,2,TRUE)),""))</f>
        <v>M_2_[hasta 3]</v>
      </c>
      <c r="AD163" s="178">
        <f t="shared" si="81"/>
        <v>61842</v>
      </c>
      <c r="AE163" s="82" t="str">
        <f t="shared" si="82"/>
        <v>-</v>
      </c>
      <c r="AF163" s="83" t="str">
        <f t="shared" si="83"/>
        <v>Revisar</v>
      </c>
      <c r="AG163" s="84"/>
      <c r="AH163" s="85" t="str">
        <f t="shared" si="84"/>
        <v>Corporación de Fomento de la Producción</v>
      </c>
      <c r="AI163" s="82" t="str">
        <f t="shared" si="85"/>
        <v>-</v>
      </c>
      <c r="AJ163" s="82" t="str">
        <f t="shared" si="86"/>
        <v>K</v>
      </c>
      <c r="AK163" s="82" t="str">
        <f t="shared" si="87"/>
        <v>-</v>
      </c>
      <c r="AL163" s="82" t="str">
        <f t="shared" si="88"/>
        <v>Identifica este registro como MUJER</v>
      </c>
      <c r="AM163" s="82" t="str">
        <f t="shared" si="89"/>
        <v>-</v>
      </c>
      <c r="AN163" s="82" t="str">
        <f t="shared" si="90"/>
        <v>-</v>
      </c>
      <c r="AO163" s="82" t="str">
        <f t="shared" si="91"/>
        <v>-</v>
      </c>
      <c r="AP163" s="57" t="str">
        <f t="shared" si="92"/>
        <v>-</v>
      </c>
      <c r="AQ163" s="86" t="str">
        <f t="shared" si="93"/>
        <v>-</v>
      </c>
      <c r="AR163" s="86" t="str">
        <f>IF(N163="","PRIMER_DIA en blanco",
IF(AND(M163="01",N163&gt;=L_Conversion!$C$118,N163&lt;=L_Conversion!$D$118),"-",
IF(AND(M163="02",N163&gt;=L_Conversion!$C$119,N163&lt;=L_Conversion!$D$119),"-",
IF(AND(M163="03",N163&gt;=L_Conversion!$C$120,N163&lt;=L_Conversion!$D$120),"-",
IF(AND(M163="04",N163&gt;=L_Conversion!$C$121,N163&lt;=L_Conversion!$D$121),"-",
IF(AND(M163="05",N163&gt;=L_Conversion!$C$122,N163&lt;=L_Conversion!$D$122),"-",
IF(AND(M163="06",N163&gt;=L_Conversion!$C$123,N163&lt;=L_Conversion!$D$123),"-",
IF(AND(M163="07",N163&gt;=L_Conversion!$C$124,N163&lt;=L_Conversion!$D$124),"-",
IF(AND(M163="08",N163&gt;=L_Conversion!$C$125,N163&lt;=L_Conversion!$D$125),"-",
IF(AND(M163="09",N163&gt;=L_Conversion!$C$126,N163&lt;=L_Conversion!$D$126),"-",
IF(AND(M163="10",N163&gt;=L_Conversion!$C$127,N163&lt;=L_Conversion!$D$127),"-",
IF(AND(M163="11",N163&gt;=L_Conversion!$C$128,N163&lt;=L_Conversion!$D$128),"-",
IF(AND(M163="12",N163&gt;=L_Conversion!$C$129,N163&lt;=L_Conversion!$D$129),"-",
IF(AND(M163="13",N163&gt;=L_Conversion!$C$116,N163&lt;=L_Conversion!$D$116),"-",
IF(AND(M163="14",N163&gt;=L_Conversion!$C$117,N163&lt;=L_Conversion!$D$117),"-",
"PRIMER_DIA fuera de rango")))))))))))))))</f>
        <v>-</v>
      </c>
      <c r="AS163" s="86" t="str">
        <f t="shared" si="94"/>
        <v>-</v>
      </c>
      <c r="AT163" s="86" t="str">
        <f t="shared" si="95"/>
        <v>-</v>
      </c>
      <c r="AU163" s="86" t="str">
        <f t="shared" si="96"/>
        <v>-</v>
      </c>
      <c r="AV163" s="86" t="str">
        <f t="shared" si="97"/>
        <v>-</v>
      </c>
      <c r="AW163" s="86" t="str">
        <f t="shared" si="98"/>
        <v>-</v>
      </c>
      <c r="AX163" s="86" t="str">
        <f t="shared" si="99"/>
        <v>-</v>
      </c>
      <c r="AY163" s="86" t="str">
        <f t="shared" si="100"/>
        <v>-</v>
      </c>
      <c r="AZ163" s="86" t="str">
        <f t="shared" si="101"/>
        <v>-</v>
      </c>
      <c r="BA163" s="86" t="str">
        <f t="shared" si="102"/>
        <v>-</v>
      </c>
      <c r="BB163" s="86" t="str">
        <f t="shared" si="103"/>
        <v>-</v>
      </c>
      <c r="BC163" s="86" t="str">
        <f t="shared" si="104"/>
        <v>-</v>
      </c>
      <c r="BD163" s="86" t="str">
        <f t="shared" si="105"/>
        <v>-</v>
      </c>
      <c r="BE163" s="86" t="str">
        <f t="shared" si="106"/>
        <v>-</v>
      </c>
      <c r="BF163" s="86" t="str">
        <f t="shared" si="107"/>
        <v>-</v>
      </c>
    </row>
    <row r="164" spans="1:58" x14ac:dyDescent="0.2">
      <c r="A164" s="19" t="s">
        <v>1144</v>
      </c>
      <c r="B164" s="19" t="s">
        <v>76</v>
      </c>
      <c r="C164" s="19">
        <v>12630178</v>
      </c>
      <c r="D164" s="81">
        <v>2</v>
      </c>
      <c r="E164" s="19" t="s">
        <v>1296</v>
      </c>
      <c r="F164" s="19" t="s">
        <v>1163</v>
      </c>
      <c r="G164" s="19" t="s">
        <v>1297</v>
      </c>
      <c r="H164" s="19" t="s">
        <v>1033</v>
      </c>
      <c r="I164" s="19" t="s">
        <v>662</v>
      </c>
      <c r="J164" s="19">
        <v>80</v>
      </c>
      <c r="K164" s="19" t="s">
        <v>563</v>
      </c>
      <c r="L164" s="19" t="s">
        <v>502</v>
      </c>
      <c r="M164" s="19" t="s">
        <v>21</v>
      </c>
      <c r="N164" s="19">
        <v>45698</v>
      </c>
      <c r="O164" s="19">
        <v>29</v>
      </c>
      <c r="P164" s="81">
        <v>1</v>
      </c>
      <c r="Q164" s="19" t="s">
        <v>23</v>
      </c>
      <c r="R164" s="19" t="s">
        <v>11</v>
      </c>
      <c r="S164" s="19" t="s">
        <v>23</v>
      </c>
      <c r="T164" s="19">
        <v>29</v>
      </c>
      <c r="U164" s="19" t="s">
        <v>11</v>
      </c>
      <c r="V164" s="19" t="s">
        <v>11</v>
      </c>
      <c r="W164" s="19" t="s">
        <v>19</v>
      </c>
      <c r="X164" s="19">
        <v>391696</v>
      </c>
      <c r="Y164" s="19" t="s">
        <v>735</v>
      </c>
      <c r="Z164" s="19">
        <v>29</v>
      </c>
      <c r="AA164" s="19">
        <v>391696</v>
      </c>
      <c r="AB164" s="19">
        <v>391696</v>
      </c>
      <c r="AC164" s="178" t="str">
        <f>IF(OR(M164="13",M164="14",P164=8),"",IF(AND(OR(S164="AUTORIZADO", S164="PENDIENTE", S164="REDUCIDO", S164="AMPLIADO"),L164&lt;&gt;"HONORARIO" ), CONCATENATE(IF(H164="X","H",H164),"_",IF(OR(P164=5,P164=6),_xlfn.CONCAT(P164,"A"),P164),"_",VLOOKUP(T164,Datos!$B$2:$C$5,2,TRUE)),""))</f>
        <v>M_1_[11 +]</v>
      </c>
      <c r="AD164" s="178">
        <f t="shared" si="81"/>
        <v>783392</v>
      </c>
      <c r="AE164" s="82" t="str">
        <f t="shared" si="82"/>
        <v>-</v>
      </c>
      <c r="AF164" s="83" t="str">
        <f t="shared" si="83"/>
        <v>070601</v>
      </c>
      <c r="AG164" s="84"/>
      <c r="AH164" s="85" t="str">
        <f t="shared" si="84"/>
        <v>Corporación de Fomento de la Producción</v>
      </c>
      <c r="AI164" s="82" t="str">
        <f t="shared" si="85"/>
        <v>-</v>
      </c>
      <c r="AJ164" s="82">
        <f t="shared" si="86"/>
        <v>2</v>
      </c>
      <c r="AK164" s="82" t="str">
        <f t="shared" si="87"/>
        <v>-</v>
      </c>
      <c r="AL164" s="82" t="str">
        <f t="shared" si="88"/>
        <v>Identifica este registro como MUJER</v>
      </c>
      <c r="AM164" s="82" t="str">
        <f t="shared" si="89"/>
        <v>-</v>
      </c>
      <c r="AN164" s="82" t="str">
        <f t="shared" si="90"/>
        <v>-</v>
      </c>
      <c r="AO164" s="82" t="str">
        <f t="shared" si="91"/>
        <v>-</v>
      </c>
      <c r="AP164" s="57" t="str">
        <f t="shared" si="92"/>
        <v>-</v>
      </c>
      <c r="AQ164" s="86" t="str">
        <f t="shared" si="93"/>
        <v>-</v>
      </c>
      <c r="AR164" s="86" t="str">
        <f>IF(N164="","PRIMER_DIA en blanco",
IF(AND(M164="01",N164&gt;=L_Conversion!$C$118,N164&lt;=L_Conversion!$D$118),"-",
IF(AND(M164="02",N164&gt;=L_Conversion!$C$119,N164&lt;=L_Conversion!$D$119),"-",
IF(AND(M164="03",N164&gt;=L_Conversion!$C$120,N164&lt;=L_Conversion!$D$120),"-",
IF(AND(M164="04",N164&gt;=L_Conversion!$C$121,N164&lt;=L_Conversion!$D$121),"-",
IF(AND(M164="05",N164&gt;=L_Conversion!$C$122,N164&lt;=L_Conversion!$D$122),"-",
IF(AND(M164="06",N164&gt;=L_Conversion!$C$123,N164&lt;=L_Conversion!$D$123),"-",
IF(AND(M164="07",N164&gt;=L_Conversion!$C$124,N164&lt;=L_Conversion!$D$124),"-",
IF(AND(M164="08",N164&gt;=L_Conversion!$C$125,N164&lt;=L_Conversion!$D$125),"-",
IF(AND(M164="09",N164&gt;=L_Conversion!$C$126,N164&lt;=L_Conversion!$D$126),"-",
IF(AND(M164="10",N164&gt;=L_Conversion!$C$127,N164&lt;=L_Conversion!$D$127),"-",
IF(AND(M164="11",N164&gt;=L_Conversion!$C$128,N164&lt;=L_Conversion!$D$128),"-",
IF(AND(M164="12",N164&gt;=L_Conversion!$C$129,N164&lt;=L_Conversion!$D$129),"-",
IF(AND(M164="13",N164&gt;=L_Conversion!$C$116,N164&lt;=L_Conversion!$D$116),"-",
IF(AND(M164="14",N164&gt;=L_Conversion!$C$117,N164&lt;=L_Conversion!$D$117),"-",
"PRIMER_DIA fuera de rango")))))))))))))))</f>
        <v>-</v>
      </c>
      <c r="AS164" s="86" t="str">
        <f t="shared" si="94"/>
        <v>-</v>
      </c>
      <c r="AT164" s="86" t="str">
        <f t="shared" si="95"/>
        <v>-</v>
      </c>
      <c r="AU164" s="86" t="str">
        <f t="shared" si="96"/>
        <v>-</v>
      </c>
      <c r="AV164" s="86" t="str">
        <f t="shared" si="97"/>
        <v>-</v>
      </c>
      <c r="AW164" s="86" t="str">
        <f t="shared" si="98"/>
        <v>-</v>
      </c>
      <c r="AX164" s="86" t="str">
        <f t="shared" si="99"/>
        <v>-</v>
      </c>
      <c r="AY164" s="86" t="str">
        <f t="shared" si="100"/>
        <v>-</v>
      </c>
      <c r="AZ164" s="86" t="str">
        <f t="shared" si="101"/>
        <v>-</v>
      </c>
      <c r="BA164" s="86" t="str">
        <f t="shared" si="102"/>
        <v>-</v>
      </c>
      <c r="BB164" s="86" t="str">
        <f t="shared" si="103"/>
        <v>-</v>
      </c>
      <c r="BC164" s="86" t="str">
        <f t="shared" si="104"/>
        <v>-</v>
      </c>
      <c r="BD164" s="86" t="str">
        <f t="shared" si="105"/>
        <v>-</v>
      </c>
      <c r="BE164" s="86" t="str">
        <f t="shared" si="106"/>
        <v>-</v>
      </c>
      <c r="BF164" s="86" t="str">
        <f t="shared" si="107"/>
        <v>-</v>
      </c>
    </row>
    <row r="165" spans="1:58" x14ac:dyDescent="0.2">
      <c r="A165" s="19" t="s">
        <v>1144</v>
      </c>
      <c r="B165" s="19" t="s">
        <v>76</v>
      </c>
      <c r="C165" s="19">
        <v>11558608</v>
      </c>
      <c r="D165" s="81">
        <v>4</v>
      </c>
      <c r="E165" s="19" t="s">
        <v>1473</v>
      </c>
      <c r="F165" s="19" t="s">
        <v>1171</v>
      </c>
      <c r="G165" s="19" t="s">
        <v>1159</v>
      </c>
      <c r="H165" s="19" t="s">
        <v>1033</v>
      </c>
      <c r="I165" s="19" t="s">
        <v>662</v>
      </c>
      <c r="J165" s="19">
        <v>60</v>
      </c>
      <c r="K165" s="19" t="s">
        <v>561</v>
      </c>
      <c r="L165" s="19" t="s">
        <v>497</v>
      </c>
      <c r="M165" s="19" t="s">
        <v>21</v>
      </c>
      <c r="N165" s="19">
        <v>45699</v>
      </c>
      <c r="O165" s="19">
        <v>11</v>
      </c>
      <c r="P165" s="81">
        <v>1</v>
      </c>
      <c r="Q165" s="19" t="s">
        <v>23</v>
      </c>
      <c r="R165" s="19" t="s">
        <v>11</v>
      </c>
      <c r="S165" s="19" t="s">
        <v>23</v>
      </c>
      <c r="T165" s="19">
        <v>11</v>
      </c>
      <c r="U165" s="19" t="s">
        <v>11</v>
      </c>
      <c r="V165" s="19" t="s">
        <v>11</v>
      </c>
      <c r="W165" s="19" t="s">
        <v>19</v>
      </c>
      <c r="X165" s="19">
        <v>487384</v>
      </c>
      <c r="Y165" s="19" t="s">
        <v>735</v>
      </c>
      <c r="Z165" s="19">
        <v>4</v>
      </c>
      <c r="AA165" s="19">
        <v>487384</v>
      </c>
      <c r="AB165" s="19">
        <v>487384</v>
      </c>
      <c r="AC165" s="178" t="str">
        <f>IF(OR(M165="13",M165="14",P165=8),"",IF(AND(OR(S165="AUTORIZADO", S165="PENDIENTE", S165="REDUCIDO", S165="AMPLIADO"),L165&lt;&gt;"HONORARIO" ), CONCATENATE(IF(H165="X","H",H165),"_",IF(OR(P165=5,P165=6),_xlfn.CONCAT(P165,"A"),P165),"_",VLOOKUP(T165,Datos!$B$2:$C$5,2,TRUE)),""))</f>
        <v>M_1_[11 +]</v>
      </c>
      <c r="AD165" s="178">
        <f t="shared" si="81"/>
        <v>974768</v>
      </c>
      <c r="AE165" s="82" t="str">
        <f t="shared" si="82"/>
        <v>-</v>
      </c>
      <c r="AF165" s="83" t="str">
        <f t="shared" si="83"/>
        <v>070601</v>
      </c>
      <c r="AG165" s="84"/>
      <c r="AH165" s="85" t="str">
        <f t="shared" si="84"/>
        <v>Corporación de Fomento de la Producción</v>
      </c>
      <c r="AI165" s="82" t="str">
        <f t="shared" si="85"/>
        <v>-</v>
      </c>
      <c r="AJ165" s="82">
        <f t="shared" si="86"/>
        <v>4</v>
      </c>
      <c r="AK165" s="82" t="str">
        <f t="shared" si="87"/>
        <v>-</v>
      </c>
      <c r="AL165" s="82" t="str">
        <f t="shared" si="88"/>
        <v>Identifica este registro como MUJER</v>
      </c>
      <c r="AM165" s="82" t="str">
        <f t="shared" si="89"/>
        <v>-</v>
      </c>
      <c r="AN165" s="82" t="str">
        <f t="shared" si="90"/>
        <v>-</v>
      </c>
      <c r="AO165" s="82" t="str">
        <f t="shared" si="91"/>
        <v>-</v>
      </c>
      <c r="AP165" s="57" t="str">
        <f t="shared" si="92"/>
        <v>-</v>
      </c>
      <c r="AQ165" s="86" t="str">
        <f t="shared" si="93"/>
        <v>-</v>
      </c>
      <c r="AR165" s="86" t="str">
        <f>IF(N165="","PRIMER_DIA en blanco",
IF(AND(M165="01",N165&gt;=L_Conversion!$C$118,N165&lt;=L_Conversion!$D$118),"-",
IF(AND(M165="02",N165&gt;=L_Conversion!$C$119,N165&lt;=L_Conversion!$D$119),"-",
IF(AND(M165="03",N165&gt;=L_Conversion!$C$120,N165&lt;=L_Conversion!$D$120),"-",
IF(AND(M165="04",N165&gt;=L_Conversion!$C$121,N165&lt;=L_Conversion!$D$121),"-",
IF(AND(M165="05",N165&gt;=L_Conversion!$C$122,N165&lt;=L_Conversion!$D$122),"-",
IF(AND(M165="06",N165&gt;=L_Conversion!$C$123,N165&lt;=L_Conversion!$D$123),"-",
IF(AND(M165="07",N165&gt;=L_Conversion!$C$124,N165&lt;=L_Conversion!$D$124),"-",
IF(AND(M165="08",N165&gt;=L_Conversion!$C$125,N165&lt;=L_Conversion!$D$125),"-",
IF(AND(M165="09",N165&gt;=L_Conversion!$C$126,N165&lt;=L_Conversion!$D$126),"-",
IF(AND(M165="10",N165&gt;=L_Conversion!$C$127,N165&lt;=L_Conversion!$D$127),"-",
IF(AND(M165="11",N165&gt;=L_Conversion!$C$128,N165&lt;=L_Conversion!$D$128),"-",
IF(AND(M165="12",N165&gt;=L_Conversion!$C$129,N165&lt;=L_Conversion!$D$129),"-",
IF(AND(M165="13",N165&gt;=L_Conversion!$C$116,N165&lt;=L_Conversion!$D$116),"-",
IF(AND(M165="14",N165&gt;=L_Conversion!$C$117,N165&lt;=L_Conversion!$D$117),"-",
"PRIMER_DIA fuera de rango")))))))))))))))</f>
        <v>-</v>
      </c>
      <c r="AS165" s="86" t="str">
        <f t="shared" si="94"/>
        <v>-</v>
      </c>
      <c r="AT165" s="86" t="str">
        <f t="shared" si="95"/>
        <v>-</v>
      </c>
      <c r="AU165" s="86" t="str">
        <f t="shared" si="96"/>
        <v>-</v>
      </c>
      <c r="AV165" s="86" t="str">
        <f t="shared" si="97"/>
        <v>-</v>
      </c>
      <c r="AW165" s="86" t="str">
        <f t="shared" si="98"/>
        <v>-</v>
      </c>
      <c r="AX165" s="86" t="str">
        <f t="shared" si="99"/>
        <v>-</v>
      </c>
      <c r="AY165" s="86" t="str">
        <f t="shared" si="100"/>
        <v>-</v>
      </c>
      <c r="AZ165" s="86" t="str">
        <f t="shared" si="101"/>
        <v>-</v>
      </c>
      <c r="BA165" s="86" t="str">
        <f t="shared" si="102"/>
        <v>-</v>
      </c>
      <c r="BB165" s="86" t="str">
        <f t="shared" si="103"/>
        <v>-</v>
      </c>
      <c r="BC165" s="86" t="str">
        <f t="shared" si="104"/>
        <v>-</v>
      </c>
      <c r="BD165" s="86" t="str">
        <f t="shared" si="105"/>
        <v>-</v>
      </c>
      <c r="BE165" s="86" t="str">
        <f t="shared" si="106"/>
        <v>-</v>
      </c>
      <c r="BF165" s="86" t="str">
        <f t="shared" si="107"/>
        <v>-</v>
      </c>
    </row>
    <row r="166" spans="1:58" x14ac:dyDescent="0.2">
      <c r="A166" s="19" t="s">
        <v>1144</v>
      </c>
      <c r="B166" s="19" t="s">
        <v>76</v>
      </c>
      <c r="C166" s="19">
        <v>15763722</v>
      </c>
      <c r="D166" s="81">
        <v>3</v>
      </c>
      <c r="E166" s="19" t="s">
        <v>1292</v>
      </c>
      <c r="F166" s="19" t="s">
        <v>1305</v>
      </c>
      <c r="G166" s="19" t="s">
        <v>1474</v>
      </c>
      <c r="H166" s="19" t="s">
        <v>1033</v>
      </c>
      <c r="I166" s="19" t="s">
        <v>662</v>
      </c>
      <c r="J166" s="19">
        <v>80</v>
      </c>
      <c r="K166" s="19" t="s">
        <v>563</v>
      </c>
      <c r="L166" s="19" t="s">
        <v>502</v>
      </c>
      <c r="M166" s="19" t="s">
        <v>21</v>
      </c>
      <c r="N166" s="19">
        <v>45699</v>
      </c>
      <c r="O166" s="19">
        <v>21</v>
      </c>
      <c r="P166" s="81">
        <v>1</v>
      </c>
      <c r="Q166" s="19" t="s">
        <v>23</v>
      </c>
      <c r="R166" s="19" t="s">
        <v>11</v>
      </c>
      <c r="S166" s="19" t="s">
        <v>23</v>
      </c>
      <c r="T166" s="19">
        <v>21</v>
      </c>
      <c r="U166" s="19" t="s">
        <v>11</v>
      </c>
      <c r="V166" s="19" t="s">
        <v>11</v>
      </c>
      <c r="W166" s="19" t="s">
        <v>19</v>
      </c>
      <c r="X166" s="19">
        <v>996432</v>
      </c>
      <c r="Y166" s="19" t="s">
        <v>735</v>
      </c>
      <c r="Z166" s="19">
        <v>21</v>
      </c>
      <c r="AA166" s="19">
        <v>996432</v>
      </c>
      <c r="AB166" s="19">
        <v>996432</v>
      </c>
      <c r="AC166" s="178" t="str">
        <f>IF(OR(M166="13",M166="14",P166=8),"",IF(AND(OR(S166="AUTORIZADO", S166="PENDIENTE", S166="REDUCIDO", S166="AMPLIADO"),L166&lt;&gt;"HONORARIO" ), CONCATENATE(IF(H166="X","H",H166),"_",IF(OR(P166=5,P166=6),_xlfn.CONCAT(P166,"A"),P166),"_",VLOOKUP(T166,Datos!$B$2:$C$5,2,TRUE)),""))</f>
        <v>M_1_[11 +]</v>
      </c>
      <c r="AD166" s="178">
        <f t="shared" si="81"/>
        <v>1992864</v>
      </c>
      <c r="AE166" s="82" t="str">
        <f t="shared" si="82"/>
        <v>-</v>
      </c>
      <c r="AF166" s="83" t="str">
        <f t="shared" si="83"/>
        <v>070601</v>
      </c>
      <c r="AG166" s="84"/>
      <c r="AH166" s="85" t="str">
        <f t="shared" si="84"/>
        <v>Corporación de Fomento de la Producción</v>
      </c>
      <c r="AI166" s="82" t="str">
        <f t="shared" si="85"/>
        <v>-</v>
      </c>
      <c r="AJ166" s="82">
        <f t="shared" si="86"/>
        <v>3</v>
      </c>
      <c r="AK166" s="82" t="str">
        <f t="shared" si="87"/>
        <v>-</v>
      </c>
      <c r="AL166" s="82" t="str">
        <f t="shared" si="88"/>
        <v>Identifica este registro como MUJER</v>
      </c>
      <c r="AM166" s="82" t="str">
        <f t="shared" si="89"/>
        <v>-</v>
      </c>
      <c r="AN166" s="82" t="str">
        <f t="shared" si="90"/>
        <v>-</v>
      </c>
      <c r="AO166" s="82" t="str">
        <f t="shared" si="91"/>
        <v>-</v>
      </c>
      <c r="AP166" s="57" t="str">
        <f t="shared" si="92"/>
        <v>-</v>
      </c>
      <c r="AQ166" s="86" t="str">
        <f t="shared" si="93"/>
        <v>-</v>
      </c>
      <c r="AR166" s="86" t="str">
        <f>IF(N166="","PRIMER_DIA en blanco",
IF(AND(M166="01",N166&gt;=L_Conversion!$C$118,N166&lt;=L_Conversion!$D$118),"-",
IF(AND(M166="02",N166&gt;=L_Conversion!$C$119,N166&lt;=L_Conversion!$D$119),"-",
IF(AND(M166="03",N166&gt;=L_Conversion!$C$120,N166&lt;=L_Conversion!$D$120),"-",
IF(AND(M166="04",N166&gt;=L_Conversion!$C$121,N166&lt;=L_Conversion!$D$121),"-",
IF(AND(M166="05",N166&gt;=L_Conversion!$C$122,N166&lt;=L_Conversion!$D$122),"-",
IF(AND(M166="06",N166&gt;=L_Conversion!$C$123,N166&lt;=L_Conversion!$D$123),"-",
IF(AND(M166="07",N166&gt;=L_Conversion!$C$124,N166&lt;=L_Conversion!$D$124),"-",
IF(AND(M166="08",N166&gt;=L_Conversion!$C$125,N166&lt;=L_Conversion!$D$125),"-",
IF(AND(M166="09",N166&gt;=L_Conversion!$C$126,N166&lt;=L_Conversion!$D$126),"-",
IF(AND(M166="10",N166&gt;=L_Conversion!$C$127,N166&lt;=L_Conversion!$D$127),"-",
IF(AND(M166="11",N166&gt;=L_Conversion!$C$128,N166&lt;=L_Conversion!$D$128),"-",
IF(AND(M166="12",N166&gt;=L_Conversion!$C$129,N166&lt;=L_Conversion!$D$129),"-",
IF(AND(M166="13",N166&gt;=L_Conversion!$C$116,N166&lt;=L_Conversion!$D$116),"-",
IF(AND(M166="14",N166&gt;=L_Conversion!$C$117,N166&lt;=L_Conversion!$D$117),"-",
"PRIMER_DIA fuera de rango")))))))))))))))</f>
        <v>-</v>
      </c>
      <c r="AS166" s="86" t="str">
        <f t="shared" si="94"/>
        <v>-</v>
      </c>
      <c r="AT166" s="86" t="str">
        <f t="shared" si="95"/>
        <v>-</v>
      </c>
      <c r="AU166" s="86" t="str">
        <f t="shared" si="96"/>
        <v>-</v>
      </c>
      <c r="AV166" s="86" t="str">
        <f t="shared" si="97"/>
        <v>-</v>
      </c>
      <c r="AW166" s="86" t="str">
        <f t="shared" si="98"/>
        <v>-</v>
      </c>
      <c r="AX166" s="86" t="str">
        <f t="shared" si="99"/>
        <v>-</v>
      </c>
      <c r="AY166" s="86" t="str">
        <f t="shared" si="100"/>
        <v>-</v>
      </c>
      <c r="AZ166" s="86" t="str">
        <f t="shared" si="101"/>
        <v>-</v>
      </c>
      <c r="BA166" s="86" t="str">
        <f t="shared" si="102"/>
        <v>-</v>
      </c>
      <c r="BB166" s="86" t="str">
        <f t="shared" si="103"/>
        <v>-</v>
      </c>
      <c r="BC166" s="86" t="str">
        <f t="shared" si="104"/>
        <v>-</v>
      </c>
      <c r="BD166" s="86" t="str">
        <f t="shared" si="105"/>
        <v>-</v>
      </c>
      <c r="BE166" s="86" t="str">
        <f t="shared" si="106"/>
        <v>-</v>
      </c>
      <c r="BF166" s="86" t="str">
        <f t="shared" si="107"/>
        <v>-</v>
      </c>
    </row>
    <row r="167" spans="1:58" x14ac:dyDescent="0.2">
      <c r="A167" s="19" t="s">
        <v>1144</v>
      </c>
      <c r="B167" s="19" t="s">
        <v>76</v>
      </c>
      <c r="C167" s="19">
        <v>11861752</v>
      </c>
      <c r="D167" s="81">
        <v>5</v>
      </c>
      <c r="E167" s="19" t="s">
        <v>1475</v>
      </c>
      <c r="F167" s="19" t="s">
        <v>1476</v>
      </c>
      <c r="G167" s="19" t="s">
        <v>1238</v>
      </c>
      <c r="H167" s="19" t="s">
        <v>1033</v>
      </c>
      <c r="I167" s="19" t="s">
        <v>662</v>
      </c>
      <c r="J167" s="19">
        <v>80</v>
      </c>
      <c r="K167" s="19" t="s">
        <v>561</v>
      </c>
      <c r="L167" s="19" t="s">
        <v>502</v>
      </c>
      <c r="M167" s="19" t="s">
        <v>21</v>
      </c>
      <c r="N167" s="19">
        <v>45699</v>
      </c>
      <c r="O167" s="19">
        <v>11</v>
      </c>
      <c r="P167" s="81">
        <v>1</v>
      </c>
      <c r="Q167" s="19" t="s">
        <v>23</v>
      </c>
      <c r="R167" s="19" t="s">
        <v>11</v>
      </c>
      <c r="S167" s="19" t="s">
        <v>23</v>
      </c>
      <c r="T167" s="19">
        <v>11</v>
      </c>
      <c r="U167" s="19" t="s">
        <v>11</v>
      </c>
      <c r="V167" s="19" t="s">
        <v>11</v>
      </c>
      <c r="W167" s="19" t="s">
        <v>19</v>
      </c>
      <c r="X167" s="19">
        <v>1173119</v>
      </c>
      <c r="Y167" s="19" t="s">
        <v>735</v>
      </c>
      <c r="Z167" s="19">
        <v>11</v>
      </c>
      <c r="AA167" s="19">
        <v>1173119</v>
      </c>
      <c r="AB167" s="19">
        <v>1173119</v>
      </c>
      <c r="AC167" s="178" t="str">
        <f>IF(OR(M167="13",M167="14",P167=8),"",IF(AND(OR(S167="AUTORIZADO", S167="PENDIENTE", S167="REDUCIDO", S167="AMPLIADO"),L167&lt;&gt;"HONORARIO" ), CONCATENATE(IF(H167="X","H",H167),"_",IF(OR(P167=5,P167=6),_xlfn.CONCAT(P167,"A"),P167),"_",VLOOKUP(T167,Datos!$B$2:$C$5,2,TRUE)),""))</f>
        <v>M_1_[11 +]</v>
      </c>
      <c r="AD167" s="178">
        <f t="shared" si="81"/>
        <v>2346238</v>
      </c>
      <c r="AE167" s="82" t="str">
        <f t="shared" si="82"/>
        <v>-</v>
      </c>
      <c r="AF167" s="83" t="str">
        <f t="shared" si="83"/>
        <v>070601</v>
      </c>
      <c r="AG167" s="84"/>
      <c r="AH167" s="85" t="str">
        <f t="shared" si="84"/>
        <v>Corporación de Fomento de la Producción</v>
      </c>
      <c r="AI167" s="82" t="str">
        <f t="shared" si="85"/>
        <v>-</v>
      </c>
      <c r="AJ167" s="82">
        <f t="shared" si="86"/>
        <v>5</v>
      </c>
      <c r="AK167" s="82" t="str">
        <f t="shared" si="87"/>
        <v>-</v>
      </c>
      <c r="AL167" s="82" t="str">
        <f t="shared" si="88"/>
        <v>Identifica este registro como MUJER</v>
      </c>
      <c r="AM167" s="82" t="str">
        <f t="shared" si="89"/>
        <v>-</v>
      </c>
      <c r="AN167" s="82" t="str">
        <f t="shared" si="90"/>
        <v>-</v>
      </c>
      <c r="AO167" s="82" t="str">
        <f t="shared" si="91"/>
        <v>-</v>
      </c>
      <c r="AP167" s="57" t="str">
        <f t="shared" si="92"/>
        <v>-</v>
      </c>
      <c r="AQ167" s="86" t="str">
        <f t="shared" si="93"/>
        <v>-</v>
      </c>
      <c r="AR167" s="86" t="str">
        <f>IF(N167="","PRIMER_DIA en blanco",
IF(AND(M167="01",N167&gt;=L_Conversion!$C$118,N167&lt;=L_Conversion!$D$118),"-",
IF(AND(M167="02",N167&gt;=L_Conversion!$C$119,N167&lt;=L_Conversion!$D$119),"-",
IF(AND(M167="03",N167&gt;=L_Conversion!$C$120,N167&lt;=L_Conversion!$D$120),"-",
IF(AND(M167="04",N167&gt;=L_Conversion!$C$121,N167&lt;=L_Conversion!$D$121),"-",
IF(AND(M167="05",N167&gt;=L_Conversion!$C$122,N167&lt;=L_Conversion!$D$122),"-",
IF(AND(M167="06",N167&gt;=L_Conversion!$C$123,N167&lt;=L_Conversion!$D$123),"-",
IF(AND(M167="07",N167&gt;=L_Conversion!$C$124,N167&lt;=L_Conversion!$D$124),"-",
IF(AND(M167="08",N167&gt;=L_Conversion!$C$125,N167&lt;=L_Conversion!$D$125),"-",
IF(AND(M167="09",N167&gt;=L_Conversion!$C$126,N167&lt;=L_Conversion!$D$126),"-",
IF(AND(M167="10",N167&gt;=L_Conversion!$C$127,N167&lt;=L_Conversion!$D$127),"-",
IF(AND(M167="11",N167&gt;=L_Conversion!$C$128,N167&lt;=L_Conversion!$D$128),"-",
IF(AND(M167="12",N167&gt;=L_Conversion!$C$129,N167&lt;=L_Conversion!$D$129),"-",
IF(AND(M167="13",N167&gt;=L_Conversion!$C$116,N167&lt;=L_Conversion!$D$116),"-",
IF(AND(M167="14",N167&gt;=L_Conversion!$C$117,N167&lt;=L_Conversion!$D$117),"-",
"PRIMER_DIA fuera de rango")))))))))))))))</f>
        <v>-</v>
      </c>
      <c r="AS167" s="86" t="str">
        <f t="shared" si="94"/>
        <v>-</v>
      </c>
      <c r="AT167" s="86" t="str">
        <f t="shared" si="95"/>
        <v>-</v>
      </c>
      <c r="AU167" s="86" t="str">
        <f t="shared" si="96"/>
        <v>-</v>
      </c>
      <c r="AV167" s="86" t="str">
        <f t="shared" si="97"/>
        <v>-</v>
      </c>
      <c r="AW167" s="86" t="str">
        <f t="shared" si="98"/>
        <v>-</v>
      </c>
      <c r="AX167" s="86" t="str">
        <f t="shared" si="99"/>
        <v>-</v>
      </c>
      <c r="AY167" s="86" t="str">
        <f t="shared" si="100"/>
        <v>-</v>
      </c>
      <c r="AZ167" s="86" t="str">
        <f t="shared" si="101"/>
        <v>-</v>
      </c>
      <c r="BA167" s="86" t="str">
        <f t="shared" si="102"/>
        <v>-</v>
      </c>
      <c r="BB167" s="86" t="str">
        <f t="shared" si="103"/>
        <v>-</v>
      </c>
      <c r="BC167" s="86" t="str">
        <f t="shared" si="104"/>
        <v>-</v>
      </c>
      <c r="BD167" s="86" t="str">
        <f t="shared" si="105"/>
        <v>-</v>
      </c>
      <c r="BE167" s="86" t="str">
        <f t="shared" si="106"/>
        <v>-</v>
      </c>
      <c r="BF167" s="86" t="str">
        <f t="shared" si="107"/>
        <v>-</v>
      </c>
    </row>
    <row r="168" spans="1:58" x14ac:dyDescent="0.2">
      <c r="A168" s="19" t="s">
        <v>1144</v>
      </c>
      <c r="B168" s="19" t="s">
        <v>76</v>
      </c>
      <c r="C168" s="19">
        <v>9124197</v>
      </c>
      <c r="D168" s="81">
        <v>8</v>
      </c>
      <c r="E168" s="19" t="s">
        <v>1152</v>
      </c>
      <c r="F168" s="19" t="s">
        <v>1181</v>
      </c>
      <c r="G168" s="19" t="s">
        <v>1431</v>
      </c>
      <c r="H168" s="19" t="s">
        <v>1033</v>
      </c>
      <c r="I168" s="19" t="s">
        <v>662</v>
      </c>
      <c r="J168" s="19">
        <v>80</v>
      </c>
      <c r="K168" s="19" t="s">
        <v>567</v>
      </c>
      <c r="L168" s="19" t="s">
        <v>502</v>
      </c>
      <c r="M168" s="19" t="s">
        <v>21</v>
      </c>
      <c r="N168" s="19">
        <v>45699</v>
      </c>
      <c r="O168" s="19">
        <v>4</v>
      </c>
      <c r="P168" s="81">
        <v>1</v>
      </c>
      <c r="Q168" s="19" t="s">
        <v>23</v>
      </c>
      <c r="R168" s="19" t="s">
        <v>11</v>
      </c>
      <c r="S168" s="19" t="s">
        <v>23</v>
      </c>
      <c r="T168" s="19">
        <v>4</v>
      </c>
      <c r="U168" s="19" t="s">
        <v>11</v>
      </c>
      <c r="V168" s="19" t="s">
        <v>11</v>
      </c>
      <c r="W168" s="19" t="s">
        <v>19</v>
      </c>
      <c r="X168" s="19">
        <v>92276</v>
      </c>
      <c r="Y168" s="19" t="s">
        <v>735</v>
      </c>
      <c r="Z168" s="19">
        <v>4</v>
      </c>
      <c r="AA168" s="19">
        <v>92276</v>
      </c>
      <c r="AB168" s="19">
        <v>92276</v>
      </c>
      <c r="AC168" s="178" t="str">
        <f>IF(OR(M168="13",M168="14",P168=8),"",IF(AND(OR(S168="AUTORIZADO", S168="PENDIENTE", S168="REDUCIDO", S168="AMPLIADO"),L168&lt;&gt;"HONORARIO" ), CONCATENATE(IF(H168="X","H",H168),"_",IF(OR(P168=5,P168=6),_xlfn.CONCAT(P168,"A"),P168),"_",VLOOKUP(T168,Datos!$B$2:$C$5,2,TRUE)),""))</f>
        <v>M_1_[4 a 10]</v>
      </c>
      <c r="AD168" s="178">
        <f t="shared" si="81"/>
        <v>184552</v>
      </c>
      <c r="AE168" s="82" t="str">
        <f t="shared" si="82"/>
        <v>-</v>
      </c>
      <c r="AF168" s="83" t="str">
        <f t="shared" si="83"/>
        <v>070601</v>
      </c>
      <c r="AG168" s="84"/>
      <c r="AH168" s="85" t="str">
        <f t="shared" si="84"/>
        <v>Corporación de Fomento de la Producción</v>
      </c>
      <c r="AI168" s="82" t="str">
        <f t="shared" si="85"/>
        <v>-</v>
      </c>
      <c r="AJ168" s="82">
        <f t="shared" si="86"/>
        <v>8</v>
      </c>
      <c r="AK168" s="82" t="str">
        <f t="shared" si="87"/>
        <v>-</v>
      </c>
      <c r="AL168" s="82" t="str">
        <f t="shared" si="88"/>
        <v>Identifica este registro como MUJER</v>
      </c>
      <c r="AM168" s="82" t="str">
        <f t="shared" si="89"/>
        <v>-</v>
      </c>
      <c r="AN168" s="82" t="str">
        <f t="shared" si="90"/>
        <v>-</v>
      </c>
      <c r="AO168" s="82" t="str">
        <f t="shared" si="91"/>
        <v>-</v>
      </c>
      <c r="AP168" s="57" t="str">
        <f t="shared" si="92"/>
        <v>-</v>
      </c>
      <c r="AQ168" s="86" t="str">
        <f t="shared" si="93"/>
        <v>-</v>
      </c>
      <c r="AR168" s="86" t="str">
        <f>IF(N168="","PRIMER_DIA en blanco",
IF(AND(M168="01",N168&gt;=L_Conversion!$C$118,N168&lt;=L_Conversion!$D$118),"-",
IF(AND(M168="02",N168&gt;=L_Conversion!$C$119,N168&lt;=L_Conversion!$D$119),"-",
IF(AND(M168="03",N168&gt;=L_Conversion!$C$120,N168&lt;=L_Conversion!$D$120),"-",
IF(AND(M168="04",N168&gt;=L_Conversion!$C$121,N168&lt;=L_Conversion!$D$121),"-",
IF(AND(M168="05",N168&gt;=L_Conversion!$C$122,N168&lt;=L_Conversion!$D$122),"-",
IF(AND(M168="06",N168&gt;=L_Conversion!$C$123,N168&lt;=L_Conversion!$D$123),"-",
IF(AND(M168="07",N168&gt;=L_Conversion!$C$124,N168&lt;=L_Conversion!$D$124),"-",
IF(AND(M168="08",N168&gt;=L_Conversion!$C$125,N168&lt;=L_Conversion!$D$125),"-",
IF(AND(M168="09",N168&gt;=L_Conversion!$C$126,N168&lt;=L_Conversion!$D$126),"-",
IF(AND(M168="10",N168&gt;=L_Conversion!$C$127,N168&lt;=L_Conversion!$D$127),"-",
IF(AND(M168="11",N168&gt;=L_Conversion!$C$128,N168&lt;=L_Conversion!$D$128),"-",
IF(AND(M168="12",N168&gt;=L_Conversion!$C$129,N168&lt;=L_Conversion!$D$129),"-",
IF(AND(M168="13",N168&gt;=L_Conversion!$C$116,N168&lt;=L_Conversion!$D$116),"-",
IF(AND(M168="14",N168&gt;=L_Conversion!$C$117,N168&lt;=L_Conversion!$D$117),"-",
"PRIMER_DIA fuera de rango")))))))))))))))</f>
        <v>-</v>
      </c>
      <c r="AS168" s="86" t="str">
        <f t="shared" si="94"/>
        <v>-</v>
      </c>
      <c r="AT168" s="86" t="str">
        <f t="shared" si="95"/>
        <v>-</v>
      </c>
      <c r="AU168" s="86" t="str">
        <f t="shared" si="96"/>
        <v>-</v>
      </c>
      <c r="AV168" s="86" t="str">
        <f t="shared" si="97"/>
        <v>-</v>
      </c>
      <c r="AW168" s="86" t="str">
        <f t="shared" si="98"/>
        <v>-</v>
      </c>
      <c r="AX168" s="86" t="str">
        <f t="shared" si="99"/>
        <v>-</v>
      </c>
      <c r="AY168" s="86" t="str">
        <f t="shared" si="100"/>
        <v>-</v>
      </c>
      <c r="AZ168" s="86" t="str">
        <f t="shared" si="101"/>
        <v>-</v>
      </c>
      <c r="BA168" s="86" t="str">
        <f t="shared" si="102"/>
        <v>-</v>
      </c>
      <c r="BB168" s="86" t="str">
        <f t="shared" si="103"/>
        <v>-</v>
      </c>
      <c r="BC168" s="86" t="str">
        <f t="shared" si="104"/>
        <v>-</v>
      </c>
      <c r="BD168" s="86" t="str">
        <f t="shared" si="105"/>
        <v>-</v>
      </c>
      <c r="BE168" s="86" t="str">
        <f t="shared" si="106"/>
        <v>-</v>
      </c>
      <c r="BF168" s="86" t="str">
        <f t="shared" si="107"/>
        <v>-</v>
      </c>
    </row>
    <row r="169" spans="1:58" x14ac:dyDescent="0.2">
      <c r="A169" s="19" t="s">
        <v>1144</v>
      </c>
      <c r="B169" s="19" t="s">
        <v>76</v>
      </c>
      <c r="C169" s="19">
        <v>9765995</v>
      </c>
      <c r="D169" s="81">
        <v>8</v>
      </c>
      <c r="E169" s="19" t="s">
        <v>1477</v>
      </c>
      <c r="F169" s="19" t="s">
        <v>1478</v>
      </c>
      <c r="G169" s="19" t="s">
        <v>1479</v>
      </c>
      <c r="H169" s="19" t="s">
        <v>1033</v>
      </c>
      <c r="I169" s="19" t="s">
        <v>662</v>
      </c>
      <c r="J169" s="19">
        <v>80</v>
      </c>
      <c r="K169" s="19" t="s">
        <v>563</v>
      </c>
      <c r="L169" s="19" t="s">
        <v>502</v>
      </c>
      <c r="M169" s="19" t="s">
        <v>21</v>
      </c>
      <c r="N169" s="19">
        <v>45699</v>
      </c>
      <c r="O169" s="19">
        <v>4</v>
      </c>
      <c r="P169" s="81">
        <v>1</v>
      </c>
      <c r="Q169" s="19" t="s">
        <v>23</v>
      </c>
      <c r="R169" s="19" t="s">
        <v>11</v>
      </c>
      <c r="S169" s="19" t="s">
        <v>23</v>
      </c>
      <c r="T169" s="19">
        <v>4</v>
      </c>
      <c r="U169" s="19" t="s">
        <v>11</v>
      </c>
      <c r="V169" s="19" t="s">
        <v>11</v>
      </c>
      <c r="W169" s="19" t="s">
        <v>19</v>
      </c>
      <c r="X169" s="19">
        <v>176172</v>
      </c>
      <c r="Y169" s="19" t="s">
        <v>735</v>
      </c>
      <c r="Z169" s="19">
        <v>4</v>
      </c>
      <c r="AA169" s="19">
        <v>176172</v>
      </c>
      <c r="AB169" s="19">
        <v>176172</v>
      </c>
      <c r="AC169" s="178" t="str">
        <f>IF(OR(M169="13",M169="14",P169=8),"",IF(AND(OR(S169="AUTORIZADO", S169="PENDIENTE", S169="REDUCIDO", S169="AMPLIADO"),L169&lt;&gt;"HONORARIO" ), CONCATENATE(IF(H169="X","H",H169),"_",IF(OR(P169=5,P169=6),_xlfn.CONCAT(P169,"A"),P169),"_",VLOOKUP(T169,Datos!$B$2:$C$5,2,TRUE)),""))</f>
        <v>M_1_[4 a 10]</v>
      </c>
      <c r="AD169" s="178">
        <f t="shared" si="81"/>
        <v>352344</v>
      </c>
      <c r="AE169" s="82" t="str">
        <f t="shared" si="82"/>
        <v>-</v>
      </c>
      <c r="AF169" s="83" t="str">
        <f t="shared" si="83"/>
        <v>070601</v>
      </c>
      <c r="AG169" s="84"/>
      <c r="AH169" s="85" t="str">
        <f t="shared" si="84"/>
        <v>Corporación de Fomento de la Producción</v>
      </c>
      <c r="AI169" s="82" t="str">
        <f t="shared" si="85"/>
        <v>-</v>
      </c>
      <c r="AJ169" s="82">
        <f t="shared" si="86"/>
        <v>8</v>
      </c>
      <c r="AK169" s="82" t="str">
        <f t="shared" si="87"/>
        <v>-</v>
      </c>
      <c r="AL169" s="82" t="str">
        <f t="shared" si="88"/>
        <v>Identifica este registro como MUJER</v>
      </c>
      <c r="AM169" s="82" t="str">
        <f t="shared" si="89"/>
        <v>-</v>
      </c>
      <c r="AN169" s="82" t="str">
        <f t="shared" si="90"/>
        <v>-</v>
      </c>
      <c r="AO169" s="82" t="str">
        <f t="shared" si="91"/>
        <v>-</v>
      </c>
      <c r="AP169" s="57" t="str">
        <f t="shared" si="92"/>
        <v>-</v>
      </c>
      <c r="AQ169" s="86" t="str">
        <f t="shared" si="93"/>
        <v>-</v>
      </c>
      <c r="AR169" s="86" t="str">
        <f>IF(N169="","PRIMER_DIA en blanco",
IF(AND(M169="01",N169&gt;=L_Conversion!$C$118,N169&lt;=L_Conversion!$D$118),"-",
IF(AND(M169="02",N169&gt;=L_Conversion!$C$119,N169&lt;=L_Conversion!$D$119),"-",
IF(AND(M169="03",N169&gt;=L_Conversion!$C$120,N169&lt;=L_Conversion!$D$120),"-",
IF(AND(M169="04",N169&gt;=L_Conversion!$C$121,N169&lt;=L_Conversion!$D$121),"-",
IF(AND(M169="05",N169&gt;=L_Conversion!$C$122,N169&lt;=L_Conversion!$D$122),"-",
IF(AND(M169="06",N169&gt;=L_Conversion!$C$123,N169&lt;=L_Conversion!$D$123),"-",
IF(AND(M169="07",N169&gt;=L_Conversion!$C$124,N169&lt;=L_Conversion!$D$124),"-",
IF(AND(M169="08",N169&gt;=L_Conversion!$C$125,N169&lt;=L_Conversion!$D$125),"-",
IF(AND(M169="09",N169&gt;=L_Conversion!$C$126,N169&lt;=L_Conversion!$D$126),"-",
IF(AND(M169="10",N169&gt;=L_Conversion!$C$127,N169&lt;=L_Conversion!$D$127),"-",
IF(AND(M169="11",N169&gt;=L_Conversion!$C$128,N169&lt;=L_Conversion!$D$128),"-",
IF(AND(M169="12",N169&gt;=L_Conversion!$C$129,N169&lt;=L_Conversion!$D$129),"-",
IF(AND(M169="13",N169&gt;=L_Conversion!$C$116,N169&lt;=L_Conversion!$D$116),"-",
IF(AND(M169="14",N169&gt;=L_Conversion!$C$117,N169&lt;=L_Conversion!$D$117),"-",
"PRIMER_DIA fuera de rango")))))))))))))))</f>
        <v>-</v>
      </c>
      <c r="AS169" s="86" t="str">
        <f t="shared" si="94"/>
        <v>-</v>
      </c>
      <c r="AT169" s="86" t="str">
        <f t="shared" si="95"/>
        <v>-</v>
      </c>
      <c r="AU169" s="86" t="str">
        <f t="shared" si="96"/>
        <v>-</v>
      </c>
      <c r="AV169" s="86" t="str">
        <f t="shared" si="97"/>
        <v>-</v>
      </c>
      <c r="AW169" s="86" t="str">
        <f t="shared" si="98"/>
        <v>-</v>
      </c>
      <c r="AX169" s="86" t="str">
        <f t="shared" si="99"/>
        <v>-</v>
      </c>
      <c r="AY169" s="86" t="str">
        <f t="shared" si="100"/>
        <v>-</v>
      </c>
      <c r="AZ169" s="86" t="str">
        <f t="shared" si="101"/>
        <v>-</v>
      </c>
      <c r="BA169" s="86" t="str">
        <f t="shared" si="102"/>
        <v>-</v>
      </c>
      <c r="BB169" s="86" t="str">
        <f t="shared" si="103"/>
        <v>-</v>
      </c>
      <c r="BC169" s="86" t="str">
        <f t="shared" si="104"/>
        <v>-</v>
      </c>
      <c r="BD169" s="86" t="str">
        <f t="shared" si="105"/>
        <v>-</v>
      </c>
      <c r="BE169" s="86" t="str">
        <f t="shared" si="106"/>
        <v>-</v>
      </c>
      <c r="BF169" s="86" t="str">
        <f t="shared" si="107"/>
        <v>-</v>
      </c>
    </row>
    <row r="170" spans="1:58" x14ac:dyDescent="0.2">
      <c r="A170" s="19" t="s">
        <v>1144</v>
      </c>
      <c r="B170" s="19" t="s">
        <v>76</v>
      </c>
      <c r="C170" s="19">
        <v>18840001</v>
      </c>
      <c r="D170" s="81">
        <v>9</v>
      </c>
      <c r="E170" s="19" t="s">
        <v>1173</v>
      </c>
      <c r="F170" s="19" t="s">
        <v>1398</v>
      </c>
      <c r="G170" s="19" t="s">
        <v>1480</v>
      </c>
      <c r="H170" s="19" t="s">
        <v>663</v>
      </c>
      <c r="I170" s="19" t="s">
        <v>662</v>
      </c>
      <c r="J170" s="19">
        <v>80</v>
      </c>
      <c r="K170" s="19" t="s">
        <v>563</v>
      </c>
      <c r="L170" s="19" t="s">
        <v>502</v>
      </c>
      <c r="M170" s="19" t="s">
        <v>21</v>
      </c>
      <c r="N170" s="19">
        <v>45699</v>
      </c>
      <c r="O170" s="19">
        <v>3</v>
      </c>
      <c r="P170" s="81">
        <v>1</v>
      </c>
      <c r="Q170" s="19" t="s">
        <v>23</v>
      </c>
      <c r="R170" s="19" t="s">
        <v>11</v>
      </c>
      <c r="S170" s="19" t="s">
        <v>23</v>
      </c>
      <c r="T170" s="19">
        <v>3</v>
      </c>
      <c r="U170" s="19" t="s">
        <v>11</v>
      </c>
      <c r="V170" s="19" t="s">
        <v>19</v>
      </c>
      <c r="W170" s="19" t="s">
        <v>19</v>
      </c>
      <c r="X170" s="19">
        <v>51122</v>
      </c>
      <c r="Y170" s="19" t="s">
        <v>735</v>
      </c>
      <c r="Z170" s="19">
        <v>3</v>
      </c>
      <c r="AA170" s="19">
        <v>51122</v>
      </c>
      <c r="AB170" s="19">
        <v>51122</v>
      </c>
      <c r="AC170" s="178" t="str">
        <f>IF(OR(M170="13",M170="14",P170=8),"",IF(AND(OR(S170="AUTORIZADO", S170="PENDIENTE", S170="REDUCIDO", S170="AMPLIADO"),L170&lt;&gt;"HONORARIO" ), CONCATENATE(IF(H170="X","H",H170),"_",IF(OR(P170=5,P170=6),_xlfn.CONCAT(P170,"A"),P170),"_",VLOOKUP(T170,Datos!$B$2:$C$5,2,TRUE)),""))</f>
        <v>H_1_[hasta 3]</v>
      </c>
      <c r="AD170" s="178">
        <f t="shared" si="81"/>
        <v>102244</v>
      </c>
      <c r="AE170" s="82" t="str">
        <f t="shared" si="82"/>
        <v>-</v>
      </c>
      <c r="AF170" s="83" t="str">
        <f t="shared" si="83"/>
        <v>070601</v>
      </c>
      <c r="AG170" s="84"/>
      <c r="AH170" s="85" t="str">
        <f t="shared" si="84"/>
        <v>Corporación de Fomento de la Producción</v>
      </c>
      <c r="AI170" s="82" t="str">
        <f t="shared" si="85"/>
        <v>-</v>
      </c>
      <c r="AJ170" s="82">
        <f t="shared" si="86"/>
        <v>9</v>
      </c>
      <c r="AK170" s="82" t="str">
        <f t="shared" si="87"/>
        <v>-</v>
      </c>
      <c r="AL170" s="82" t="str">
        <f t="shared" si="88"/>
        <v>Identifica este registro como HOMBRE</v>
      </c>
      <c r="AM170" s="82" t="str">
        <f t="shared" si="89"/>
        <v>-</v>
      </c>
      <c r="AN170" s="82" t="str">
        <f t="shared" si="90"/>
        <v>-</v>
      </c>
      <c r="AO170" s="82" t="str">
        <f t="shared" si="91"/>
        <v>-</v>
      </c>
      <c r="AP170" s="57" t="str">
        <f t="shared" si="92"/>
        <v>-</v>
      </c>
      <c r="AQ170" s="86" t="str">
        <f t="shared" si="93"/>
        <v>-</v>
      </c>
      <c r="AR170" s="86" t="str">
        <f>IF(N170="","PRIMER_DIA en blanco",
IF(AND(M170="01",N170&gt;=L_Conversion!$C$118,N170&lt;=L_Conversion!$D$118),"-",
IF(AND(M170="02",N170&gt;=L_Conversion!$C$119,N170&lt;=L_Conversion!$D$119),"-",
IF(AND(M170="03",N170&gt;=L_Conversion!$C$120,N170&lt;=L_Conversion!$D$120),"-",
IF(AND(M170="04",N170&gt;=L_Conversion!$C$121,N170&lt;=L_Conversion!$D$121),"-",
IF(AND(M170="05",N170&gt;=L_Conversion!$C$122,N170&lt;=L_Conversion!$D$122),"-",
IF(AND(M170="06",N170&gt;=L_Conversion!$C$123,N170&lt;=L_Conversion!$D$123),"-",
IF(AND(M170="07",N170&gt;=L_Conversion!$C$124,N170&lt;=L_Conversion!$D$124),"-",
IF(AND(M170="08",N170&gt;=L_Conversion!$C$125,N170&lt;=L_Conversion!$D$125),"-",
IF(AND(M170="09",N170&gt;=L_Conversion!$C$126,N170&lt;=L_Conversion!$D$126),"-",
IF(AND(M170="10",N170&gt;=L_Conversion!$C$127,N170&lt;=L_Conversion!$D$127),"-",
IF(AND(M170="11",N170&gt;=L_Conversion!$C$128,N170&lt;=L_Conversion!$D$128),"-",
IF(AND(M170="12",N170&gt;=L_Conversion!$C$129,N170&lt;=L_Conversion!$D$129),"-",
IF(AND(M170="13",N170&gt;=L_Conversion!$C$116,N170&lt;=L_Conversion!$D$116),"-",
IF(AND(M170="14",N170&gt;=L_Conversion!$C$117,N170&lt;=L_Conversion!$D$117),"-",
"PRIMER_DIA fuera de rango")))))))))))))))</f>
        <v>-</v>
      </c>
      <c r="AS170" s="86" t="str">
        <f t="shared" si="94"/>
        <v>-</v>
      </c>
      <c r="AT170" s="86" t="str">
        <f t="shared" si="95"/>
        <v>-</v>
      </c>
      <c r="AU170" s="86" t="str">
        <f t="shared" si="96"/>
        <v>-</v>
      </c>
      <c r="AV170" s="86" t="str">
        <f t="shared" si="97"/>
        <v>-</v>
      </c>
      <c r="AW170" s="86" t="str">
        <f t="shared" si="98"/>
        <v>-</v>
      </c>
      <c r="AX170" s="86" t="str">
        <f t="shared" si="99"/>
        <v>-</v>
      </c>
      <c r="AY170" s="86" t="str">
        <f t="shared" si="100"/>
        <v>-</v>
      </c>
      <c r="AZ170" s="86" t="str">
        <f t="shared" si="101"/>
        <v>-</v>
      </c>
      <c r="BA170" s="86" t="str">
        <f t="shared" si="102"/>
        <v>-</v>
      </c>
      <c r="BB170" s="86" t="str">
        <f t="shared" si="103"/>
        <v>-</v>
      </c>
      <c r="BC170" s="86" t="str">
        <f t="shared" si="104"/>
        <v>-</v>
      </c>
      <c r="BD170" s="86" t="str">
        <f t="shared" si="105"/>
        <v>-</v>
      </c>
      <c r="BE170" s="86" t="str">
        <f t="shared" si="106"/>
        <v>-</v>
      </c>
      <c r="BF170" s="86" t="str">
        <f t="shared" si="107"/>
        <v>-</v>
      </c>
    </row>
    <row r="171" spans="1:58" x14ac:dyDescent="0.2">
      <c r="A171" s="19" t="s">
        <v>1144</v>
      </c>
      <c r="B171" s="19" t="s">
        <v>678</v>
      </c>
      <c r="C171" s="19">
        <v>11751283</v>
      </c>
      <c r="D171" s="81">
        <v>5</v>
      </c>
      <c r="E171" s="19" t="s">
        <v>1148</v>
      </c>
      <c r="F171" s="19" t="s">
        <v>1245</v>
      </c>
      <c r="G171" s="19" t="s">
        <v>1363</v>
      </c>
      <c r="H171" s="19" t="s">
        <v>1033</v>
      </c>
      <c r="I171" s="19" t="s">
        <v>663</v>
      </c>
      <c r="J171" s="19">
        <v>80</v>
      </c>
      <c r="K171" s="19" t="s">
        <v>567</v>
      </c>
      <c r="L171" s="19" t="s">
        <v>516</v>
      </c>
      <c r="M171" s="19" t="s">
        <v>21</v>
      </c>
      <c r="N171" s="19">
        <v>45699</v>
      </c>
      <c r="O171" s="19">
        <v>21</v>
      </c>
      <c r="P171" s="81">
        <v>1</v>
      </c>
      <c r="Q171" s="19" t="s">
        <v>23</v>
      </c>
      <c r="R171" s="19" t="s">
        <v>11</v>
      </c>
      <c r="S171" s="19" t="s">
        <v>23</v>
      </c>
      <c r="T171" s="19">
        <v>21</v>
      </c>
      <c r="U171" s="19" t="s">
        <v>11</v>
      </c>
      <c r="V171" s="19" t="s">
        <v>11</v>
      </c>
      <c r="W171" s="19" t="s">
        <v>19</v>
      </c>
      <c r="X171" s="19">
        <v>298809</v>
      </c>
      <c r="Y171" s="19" t="s">
        <v>735</v>
      </c>
      <c r="Z171" s="19">
        <v>21</v>
      </c>
      <c r="AA171" s="19">
        <v>298809</v>
      </c>
      <c r="AB171" s="19">
        <v>298809</v>
      </c>
      <c r="AC171" s="178" t="str">
        <f>IF(OR(M171="13",M171="14",P171=8),"",IF(AND(OR(S171="AUTORIZADO", S171="PENDIENTE", S171="REDUCIDO", S171="AMPLIADO"),L171&lt;&gt;"HONORARIO" ), CONCATENATE(IF(H171="X","H",H171),"_",IF(OR(P171=5,P171=6),_xlfn.CONCAT(P171,"A"),P171),"_",VLOOKUP(T171,Datos!$B$2:$C$5,2,TRUE)),""))</f>
        <v>M_1_[11 +]</v>
      </c>
      <c r="AD171" s="178">
        <f t="shared" si="81"/>
        <v>597618</v>
      </c>
      <c r="AE171" s="82" t="str">
        <f t="shared" si="82"/>
        <v>-</v>
      </c>
      <c r="AF171" s="83" t="str">
        <f t="shared" si="83"/>
        <v>Revisar</v>
      </c>
      <c r="AG171" s="84"/>
      <c r="AH171" s="85" t="str">
        <f t="shared" si="84"/>
        <v>Corporación de Fomento de la Producción</v>
      </c>
      <c r="AI171" s="82" t="str">
        <f t="shared" si="85"/>
        <v>-</v>
      </c>
      <c r="AJ171" s="82">
        <f t="shared" si="86"/>
        <v>5</v>
      </c>
      <c r="AK171" s="82" t="str">
        <f t="shared" si="87"/>
        <v>-</v>
      </c>
      <c r="AL171" s="82" t="str">
        <f t="shared" si="88"/>
        <v>Identifica este registro como MUJER</v>
      </c>
      <c r="AM171" s="82" t="str">
        <f t="shared" si="89"/>
        <v>-</v>
      </c>
      <c r="AN171" s="82" t="str">
        <f t="shared" si="90"/>
        <v>-</v>
      </c>
      <c r="AO171" s="82" t="str">
        <f t="shared" si="91"/>
        <v>-</v>
      </c>
      <c r="AP171" s="57" t="str">
        <f t="shared" si="92"/>
        <v>-</v>
      </c>
      <c r="AQ171" s="86" t="str">
        <f t="shared" si="93"/>
        <v>-</v>
      </c>
      <c r="AR171" s="86" t="str">
        <f>IF(N171="","PRIMER_DIA en blanco",
IF(AND(M171="01",N171&gt;=L_Conversion!$C$118,N171&lt;=L_Conversion!$D$118),"-",
IF(AND(M171="02",N171&gt;=L_Conversion!$C$119,N171&lt;=L_Conversion!$D$119),"-",
IF(AND(M171="03",N171&gt;=L_Conversion!$C$120,N171&lt;=L_Conversion!$D$120),"-",
IF(AND(M171="04",N171&gt;=L_Conversion!$C$121,N171&lt;=L_Conversion!$D$121),"-",
IF(AND(M171="05",N171&gt;=L_Conversion!$C$122,N171&lt;=L_Conversion!$D$122),"-",
IF(AND(M171="06",N171&gt;=L_Conversion!$C$123,N171&lt;=L_Conversion!$D$123),"-",
IF(AND(M171="07",N171&gt;=L_Conversion!$C$124,N171&lt;=L_Conversion!$D$124),"-",
IF(AND(M171="08",N171&gt;=L_Conversion!$C$125,N171&lt;=L_Conversion!$D$125),"-",
IF(AND(M171="09",N171&gt;=L_Conversion!$C$126,N171&lt;=L_Conversion!$D$126),"-",
IF(AND(M171="10",N171&gt;=L_Conversion!$C$127,N171&lt;=L_Conversion!$D$127),"-",
IF(AND(M171="11",N171&gt;=L_Conversion!$C$128,N171&lt;=L_Conversion!$D$128),"-",
IF(AND(M171="12",N171&gt;=L_Conversion!$C$129,N171&lt;=L_Conversion!$D$129),"-",
IF(AND(M171="13",N171&gt;=L_Conversion!$C$116,N171&lt;=L_Conversion!$D$116),"-",
IF(AND(M171="14",N171&gt;=L_Conversion!$C$117,N171&lt;=L_Conversion!$D$117),"-",
"PRIMER_DIA fuera de rango")))))))))))))))</f>
        <v>-</v>
      </c>
      <c r="AS171" s="86" t="str">
        <f t="shared" si="94"/>
        <v>-</v>
      </c>
      <c r="AT171" s="86" t="str">
        <f t="shared" si="95"/>
        <v>-</v>
      </c>
      <c r="AU171" s="86" t="str">
        <f t="shared" si="96"/>
        <v>-</v>
      </c>
      <c r="AV171" s="86" t="str">
        <f t="shared" si="97"/>
        <v>-</v>
      </c>
      <c r="AW171" s="86" t="str">
        <f t="shared" si="98"/>
        <v>-</v>
      </c>
      <c r="AX171" s="86" t="str">
        <f t="shared" si="99"/>
        <v>-</v>
      </c>
      <c r="AY171" s="86" t="str">
        <f t="shared" si="100"/>
        <v>-</v>
      </c>
      <c r="AZ171" s="86" t="str">
        <f t="shared" si="101"/>
        <v>-</v>
      </c>
      <c r="BA171" s="86" t="str">
        <f t="shared" si="102"/>
        <v>-</v>
      </c>
      <c r="BB171" s="86" t="str">
        <f t="shared" si="103"/>
        <v>-</v>
      </c>
      <c r="BC171" s="86" t="str">
        <f t="shared" si="104"/>
        <v>-</v>
      </c>
      <c r="BD171" s="86" t="str">
        <f t="shared" si="105"/>
        <v>-</v>
      </c>
      <c r="BE171" s="86" t="str">
        <f t="shared" si="106"/>
        <v>-</v>
      </c>
      <c r="BF171" s="86" t="str">
        <f t="shared" si="107"/>
        <v>-</v>
      </c>
    </row>
    <row r="172" spans="1:58" x14ac:dyDescent="0.2">
      <c r="A172" s="19" t="s">
        <v>1144</v>
      </c>
      <c r="B172" s="19" t="s">
        <v>76</v>
      </c>
      <c r="C172" s="19">
        <v>9210273</v>
      </c>
      <c r="D172" s="81">
        <v>4</v>
      </c>
      <c r="E172" s="19" t="s">
        <v>1481</v>
      </c>
      <c r="F172" s="19" t="s">
        <v>1158</v>
      </c>
      <c r="G172" s="19" t="s">
        <v>1482</v>
      </c>
      <c r="H172" s="19" t="s">
        <v>1033</v>
      </c>
      <c r="I172" s="19" t="s">
        <v>662</v>
      </c>
      <c r="J172" s="19">
        <v>80</v>
      </c>
      <c r="K172" s="19" t="s">
        <v>563</v>
      </c>
      <c r="L172" s="19" t="s">
        <v>502</v>
      </c>
      <c r="M172" s="19" t="s">
        <v>21</v>
      </c>
      <c r="N172" s="19">
        <v>45699</v>
      </c>
      <c r="O172" s="19">
        <v>2</v>
      </c>
      <c r="P172" s="81">
        <v>1</v>
      </c>
      <c r="Q172" s="19" t="s">
        <v>23</v>
      </c>
      <c r="R172" s="19" t="s">
        <v>11</v>
      </c>
      <c r="S172" s="19" t="s">
        <v>23</v>
      </c>
      <c r="T172" s="19">
        <v>2</v>
      </c>
      <c r="U172" s="19" t="s">
        <v>11</v>
      </c>
      <c r="V172" s="19" t="s">
        <v>19</v>
      </c>
      <c r="W172" s="19" t="s">
        <v>19</v>
      </c>
      <c r="X172" s="19">
        <v>42763</v>
      </c>
      <c r="Y172" s="19" t="s">
        <v>735</v>
      </c>
      <c r="Z172" s="19">
        <v>2</v>
      </c>
      <c r="AA172" s="19">
        <v>42763</v>
      </c>
      <c r="AB172" s="19">
        <v>42763</v>
      </c>
      <c r="AC172" s="178" t="str">
        <f>IF(OR(M172="13",M172="14",P172=8),"",IF(AND(OR(S172="AUTORIZADO", S172="PENDIENTE", S172="REDUCIDO", S172="AMPLIADO"),L172&lt;&gt;"HONORARIO" ), CONCATENATE(IF(H172="X","H",H172),"_",IF(OR(P172=5,P172=6),_xlfn.CONCAT(P172,"A"),P172),"_",VLOOKUP(T172,Datos!$B$2:$C$5,2,TRUE)),""))</f>
        <v>M_1_[hasta 3]</v>
      </c>
      <c r="AD172" s="178">
        <f t="shared" si="81"/>
        <v>85526</v>
      </c>
      <c r="AE172" s="82" t="str">
        <f t="shared" si="82"/>
        <v>-</v>
      </c>
      <c r="AF172" s="83" t="str">
        <f t="shared" si="83"/>
        <v>070601</v>
      </c>
      <c r="AG172" s="84"/>
      <c r="AH172" s="85" t="str">
        <f t="shared" si="84"/>
        <v>Corporación de Fomento de la Producción</v>
      </c>
      <c r="AI172" s="82" t="str">
        <f t="shared" si="85"/>
        <v>-</v>
      </c>
      <c r="AJ172" s="82">
        <f t="shared" si="86"/>
        <v>4</v>
      </c>
      <c r="AK172" s="82" t="str">
        <f t="shared" si="87"/>
        <v>-</v>
      </c>
      <c r="AL172" s="82" t="str">
        <f t="shared" si="88"/>
        <v>Identifica este registro como MUJER</v>
      </c>
      <c r="AM172" s="82" t="str">
        <f t="shared" si="89"/>
        <v>-</v>
      </c>
      <c r="AN172" s="82" t="str">
        <f t="shared" si="90"/>
        <v>-</v>
      </c>
      <c r="AO172" s="82" t="str">
        <f t="shared" si="91"/>
        <v>-</v>
      </c>
      <c r="AP172" s="57" t="str">
        <f t="shared" si="92"/>
        <v>-</v>
      </c>
      <c r="AQ172" s="86" t="str">
        <f t="shared" si="93"/>
        <v>-</v>
      </c>
      <c r="AR172" s="86" t="str">
        <f>IF(N172="","PRIMER_DIA en blanco",
IF(AND(M172="01",N172&gt;=L_Conversion!$C$118,N172&lt;=L_Conversion!$D$118),"-",
IF(AND(M172="02",N172&gt;=L_Conversion!$C$119,N172&lt;=L_Conversion!$D$119),"-",
IF(AND(M172="03",N172&gt;=L_Conversion!$C$120,N172&lt;=L_Conversion!$D$120),"-",
IF(AND(M172="04",N172&gt;=L_Conversion!$C$121,N172&lt;=L_Conversion!$D$121),"-",
IF(AND(M172="05",N172&gt;=L_Conversion!$C$122,N172&lt;=L_Conversion!$D$122),"-",
IF(AND(M172="06",N172&gt;=L_Conversion!$C$123,N172&lt;=L_Conversion!$D$123),"-",
IF(AND(M172="07",N172&gt;=L_Conversion!$C$124,N172&lt;=L_Conversion!$D$124),"-",
IF(AND(M172="08",N172&gt;=L_Conversion!$C$125,N172&lt;=L_Conversion!$D$125),"-",
IF(AND(M172="09",N172&gt;=L_Conversion!$C$126,N172&lt;=L_Conversion!$D$126),"-",
IF(AND(M172="10",N172&gt;=L_Conversion!$C$127,N172&lt;=L_Conversion!$D$127),"-",
IF(AND(M172="11",N172&gt;=L_Conversion!$C$128,N172&lt;=L_Conversion!$D$128),"-",
IF(AND(M172="12",N172&gt;=L_Conversion!$C$129,N172&lt;=L_Conversion!$D$129),"-",
IF(AND(M172="13",N172&gt;=L_Conversion!$C$116,N172&lt;=L_Conversion!$D$116),"-",
IF(AND(M172="14",N172&gt;=L_Conversion!$C$117,N172&lt;=L_Conversion!$D$117),"-",
"PRIMER_DIA fuera de rango")))))))))))))))</f>
        <v>-</v>
      </c>
      <c r="AS172" s="86" t="str">
        <f t="shared" si="94"/>
        <v>-</v>
      </c>
      <c r="AT172" s="86" t="str">
        <f t="shared" si="95"/>
        <v>-</v>
      </c>
      <c r="AU172" s="86" t="str">
        <f t="shared" si="96"/>
        <v>-</v>
      </c>
      <c r="AV172" s="86" t="str">
        <f t="shared" si="97"/>
        <v>-</v>
      </c>
      <c r="AW172" s="86" t="str">
        <f t="shared" si="98"/>
        <v>-</v>
      </c>
      <c r="AX172" s="86" t="str">
        <f t="shared" si="99"/>
        <v>-</v>
      </c>
      <c r="AY172" s="86" t="str">
        <f t="shared" si="100"/>
        <v>-</v>
      </c>
      <c r="AZ172" s="86" t="str">
        <f t="shared" si="101"/>
        <v>-</v>
      </c>
      <c r="BA172" s="86" t="str">
        <f t="shared" si="102"/>
        <v>-</v>
      </c>
      <c r="BB172" s="86" t="str">
        <f t="shared" si="103"/>
        <v>-</v>
      </c>
      <c r="BC172" s="86" t="str">
        <f t="shared" si="104"/>
        <v>-</v>
      </c>
      <c r="BD172" s="86" t="str">
        <f t="shared" si="105"/>
        <v>-</v>
      </c>
      <c r="BE172" s="86" t="str">
        <f t="shared" si="106"/>
        <v>-</v>
      </c>
      <c r="BF172" s="86" t="str">
        <f t="shared" si="107"/>
        <v>-</v>
      </c>
    </row>
    <row r="173" spans="1:58" x14ac:dyDescent="0.2">
      <c r="A173" s="19" t="s">
        <v>1144</v>
      </c>
      <c r="B173" s="19" t="s">
        <v>76</v>
      </c>
      <c r="C173" s="19">
        <v>12612923</v>
      </c>
      <c r="D173" s="81">
        <v>8</v>
      </c>
      <c r="E173" s="19" t="s">
        <v>1450</v>
      </c>
      <c r="F173" s="19" t="s">
        <v>1378</v>
      </c>
      <c r="G173" s="19" t="s">
        <v>1483</v>
      </c>
      <c r="H173" s="19" t="s">
        <v>1033</v>
      </c>
      <c r="I173" s="19" t="s">
        <v>662</v>
      </c>
      <c r="J173" s="19">
        <v>80</v>
      </c>
      <c r="K173" s="19" t="s">
        <v>563</v>
      </c>
      <c r="L173" s="19" t="s">
        <v>502</v>
      </c>
      <c r="M173" s="19" t="s">
        <v>21</v>
      </c>
      <c r="N173" s="19">
        <v>45699</v>
      </c>
      <c r="O173" s="19">
        <v>3</v>
      </c>
      <c r="P173" s="81">
        <v>1</v>
      </c>
      <c r="Q173" s="19" t="s">
        <v>23</v>
      </c>
      <c r="R173" s="19" t="s">
        <v>11</v>
      </c>
      <c r="S173" s="19" t="s">
        <v>23</v>
      </c>
      <c r="T173" s="19">
        <v>3</v>
      </c>
      <c r="U173" s="19" t="s">
        <v>11</v>
      </c>
      <c r="V173" s="19" t="s">
        <v>19</v>
      </c>
      <c r="W173" s="19" t="s">
        <v>19</v>
      </c>
      <c r="X173" s="19">
        <v>61113</v>
      </c>
      <c r="Y173" s="19" t="s">
        <v>735</v>
      </c>
      <c r="Z173" s="19">
        <v>3</v>
      </c>
      <c r="AA173" s="19">
        <v>61113</v>
      </c>
      <c r="AB173" s="19">
        <v>61113</v>
      </c>
      <c r="AC173" s="178" t="str">
        <f>IF(OR(M173="13",M173="14",P173=8),"",IF(AND(OR(S173="AUTORIZADO", S173="PENDIENTE", S173="REDUCIDO", S173="AMPLIADO"),L173&lt;&gt;"HONORARIO" ), CONCATENATE(IF(H173="X","H",H173),"_",IF(OR(P173=5,P173=6),_xlfn.CONCAT(P173,"A"),P173),"_",VLOOKUP(T173,Datos!$B$2:$C$5,2,TRUE)),""))</f>
        <v>M_1_[hasta 3]</v>
      </c>
      <c r="AD173" s="178">
        <f t="shared" si="81"/>
        <v>122226</v>
      </c>
      <c r="AE173" s="82" t="str">
        <f t="shared" si="82"/>
        <v>-</v>
      </c>
      <c r="AF173" s="83" t="str">
        <f t="shared" si="83"/>
        <v>070601</v>
      </c>
      <c r="AG173" s="84"/>
      <c r="AH173" s="85" t="str">
        <f t="shared" si="84"/>
        <v>Corporación de Fomento de la Producción</v>
      </c>
      <c r="AI173" s="82" t="str">
        <f t="shared" si="85"/>
        <v>-</v>
      </c>
      <c r="AJ173" s="82">
        <f t="shared" si="86"/>
        <v>8</v>
      </c>
      <c r="AK173" s="82" t="str">
        <f t="shared" si="87"/>
        <v>-</v>
      </c>
      <c r="AL173" s="82" t="str">
        <f t="shared" si="88"/>
        <v>Identifica este registro como MUJER</v>
      </c>
      <c r="AM173" s="82" t="str">
        <f t="shared" si="89"/>
        <v>-</v>
      </c>
      <c r="AN173" s="82" t="str">
        <f t="shared" si="90"/>
        <v>-</v>
      </c>
      <c r="AO173" s="82" t="str">
        <f t="shared" si="91"/>
        <v>-</v>
      </c>
      <c r="AP173" s="57" t="str">
        <f t="shared" si="92"/>
        <v>-</v>
      </c>
      <c r="AQ173" s="86" t="str">
        <f t="shared" si="93"/>
        <v>-</v>
      </c>
      <c r="AR173" s="86" t="str">
        <f>IF(N173="","PRIMER_DIA en blanco",
IF(AND(M173="01",N173&gt;=L_Conversion!$C$118,N173&lt;=L_Conversion!$D$118),"-",
IF(AND(M173="02",N173&gt;=L_Conversion!$C$119,N173&lt;=L_Conversion!$D$119),"-",
IF(AND(M173="03",N173&gt;=L_Conversion!$C$120,N173&lt;=L_Conversion!$D$120),"-",
IF(AND(M173="04",N173&gt;=L_Conversion!$C$121,N173&lt;=L_Conversion!$D$121),"-",
IF(AND(M173="05",N173&gt;=L_Conversion!$C$122,N173&lt;=L_Conversion!$D$122),"-",
IF(AND(M173="06",N173&gt;=L_Conversion!$C$123,N173&lt;=L_Conversion!$D$123),"-",
IF(AND(M173="07",N173&gt;=L_Conversion!$C$124,N173&lt;=L_Conversion!$D$124),"-",
IF(AND(M173="08",N173&gt;=L_Conversion!$C$125,N173&lt;=L_Conversion!$D$125),"-",
IF(AND(M173="09",N173&gt;=L_Conversion!$C$126,N173&lt;=L_Conversion!$D$126),"-",
IF(AND(M173="10",N173&gt;=L_Conversion!$C$127,N173&lt;=L_Conversion!$D$127),"-",
IF(AND(M173="11",N173&gt;=L_Conversion!$C$128,N173&lt;=L_Conversion!$D$128),"-",
IF(AND(M173="12",N173&gt;=L_Conversion!$C$129,N173&lt;=L_Conversion!$D$129),"-",
IF(AND(M173="13",N173&gt;=L_Conversion!$C$116,N173&lt;=L_Conversion!$D$116),"-",
IF(AND(M173="14",N173&gt;=L_Conversion!$C$117,N173&lt;=L_Conversion!$D$117),"-",
"PRIMER_DIA fuera de rango")))))))))))))))</f>
        <v>-</v>
      </c>
      <c r="AS173" s="86" t="str">
        <f t="shared" si="94"/>
        <v>-</v>
      </c>
      <c r="AT173" s="86" t="str">
        <f t="shared" si="95"/>
        <v>-</v>
      </c>
      <c r="AU173" s="86" t="str">
        <f t="shared" si="96"/>
        <v>-</v>
      </c>
      <c r="AV173" s="86" t="str">
        <f t="shared" si="97"/>
        <v>-</v>
      </c>
      <c r="AW173" s="86" t="str">
        <f t="shared" si="98"/>
        <v>-</v>
      </c>
      <c r="AX173" s="86" t="str">
        <f t="shared" si="99"/>
        <v>-</v>
      </c>
      <c r="AY173" s="86" t="str">
        <f t="shared" si="100"/>
        <v>-</v>
      </c>
      <c r="AZ173" s="86" t="str">
        <f t="shared" si="101"/>
        <v>-</v>
      </c>
      <c r="BA173" s="86" t="str">
        <f t="shared" si="102"/>
        <v>-</v>
      </c>
      <c r="BB173" s="86" t="str">
        <f t="shared" si="103"/>
        <v>-</v>
      </c>
      <c r="BC173" s="86" t="str">
        <f t="shared" si="104"/>
        <v>-</v>
      </c>
      <c r="BD173" s="86" t="str">
        <f t="shared" si="105"/>
        <v>-</v>
      </c>
      <c r="BE173" s="86" t="str">
        <f t="shared" si="106"/>
        <v>-</v>
      </c>
      <c r="BF173" s="86" t="str">
        <f t="shared" si="107"/>
        <v>-</v>
      </c>
    </row>
    <row r="174" spans="1:58" x14ac:dyDescent="0.2">
      <c r="A174" s="19" t="s">
        <v>1144</v>
      </c>
      <c r="B174" s="19" t="s">
        <v>76</v>
      </c>
      <c r="C174" s="19">
        <v>16976511</v>
      </c>
      <c r="D174" s="81">
        <v>1</v>
      </c>
      <c r="E174" s="19" t="s">
        <v>1319</v>
      </c>
      <c r="F174" s="19" t="s">
        <v>1153</v>
      </c>
      <c r="G174" s="19" t="s">
        <v>1320</v>
      </c>
      <c r="H174" s="19" t="s">
        <v>1033</v>
      </c>
      <c r="I174" s="19" t="s">
        <v>662</v>
      </c>
      <c r="J174" s="19">
        <v>80</v>
      </c>
      <c r="K174" s="19" t="s">
        <v>563</v>
      </c>
      <c r="L174" s="19" t="s">
        <v>502</v>
      </c>
      <c r="M174" s="19" t="s">
        <v>21</v>
      </c>
      <c r="N174" s="19">
        <v>45700</v>
      </c>
      <c r="O174" s="19">
        <v>3</v>
      </c>
      <c r="P174" s="81">
        <v>1</v>
      </c>
      <c r="Q174" s="19" t="s">
        <v>23</v>
      </c>
      <c r="R174" s="19" t="s">
        <v>11</v>
      </c>
      <c r="S174" s="19" t="s">
        <v>23</v>
      </c>
      <c r="T174" s="19">
        <v>3</v>
      </c>
      <c r="U174" s="19" t="s">
        <v>11</v>
      </c>
      <c r="V174" s="19" t="s">
        <v>19</v>
      </c>
      <c r="W174" s="19" t="s">
        <v>19</v>
      </c>
      <c r="X174" s="19">
        <v>52855</v>
      </c>
      <c r="Y174" s="19" t="s">
        <v>735</v>
      </c>
      <c r="Z174" s="19">
        <v>3</v>
      </c>
      <c r="AA174" s="19">
        <v>52855</v>
      </c>
      <c r="AB174" s="19">
        <v>52855</v>
      </c>
      <c r="AC174" s="178" t="str">
        <f>IF(OR(M174="13",M174="14",P174=8),"",IF(AND(OR(S174="AUTORIZADO", S174="PENDIENTE", S174="REDUCIDO", S174="AMPLIADO"),L174&lt;&gt;"HONORARIO" ), CONCATENATE(IF(H174="X","H",H174),"_",IF(OR(P174=5,P174=6),_xlfn.CONCAT(P174,"A"),P174),"_",VLOOKUP(T174,Datos!$B$2:$C$5,2,TRUE)),""))</f>
        <v>M_1_[hasta 3]</v>
      </c>
      <c r="AD174" s="178">
        <f t="shared" si="81"/>
        <v>105710</v>
      </c>
      <c r="AE174" s="82" t="str">
        <f t="shared" si="82"/>
        <v>-</v>
      </c>
      <c r="AF174" s="83" t="str">
        <f t="shared" si="83"/>
        <v>070601</v>
      </c>
      <c r="AG174" s="84"/>
      <c r="AH174" s="85" t="str">
        <f t="shared" si="84"/>
        <v>Corporación de Fomento de la Producción</v>
      </c>
      <c r="AI174" s="82" t="str">
        <f t="shared" si="85"/>
        <v>-</v>
      </c>
      <c r="AJ174" s="82">
        <f t="shared" si="86"/>
        <v>1</v>
      </c>
      <c r="AK174" s="82" t="str">
        <f t="shared" si="87"/>
        <v>-</v>
      </c>
      <c r="AL174" s="82" t="str">
        <f t="shared" si="88"/>
        <v>Identifica este registro como MUJER</v>
      </c>
      <c r="AM174" s="82" t="str">
        <f t="shared" si="89"/>
        <v>-</v>
      </c>
      <c r="AN174" s="82" t="str">
        <f t="shared" si="90"/>
        <v>-</v>
      </c>
      <c r="AO174" s="82" t="str">
        <f t="shared" si="91"/>
        <v>-</v>
      </c>
      <c r="AP174" s="57" t="str">
        <f t="shared" si="92"/>
        <v>-</v>
      </c>
      <c r="AQ174" s="86" t="str">
        <f t="shared" si="93"/>
        <v>-</v>
      </c>
      <c r="AR174" s="86" t="str">
        <f>IF(N174="","PRIMER_DIA en blanco",
IF(AND(M174="01",N174&gt;=L_Conversion!$C$118,N174&lt;=L_Conversion!$D$118),"-",
IF(AND(M174="02",N174&gt;=L_Conversion!$C$119,N174&lt;=L_Conversion!$D$119),"-",
IF(AND(M174="03",N174&gt;=L_Conversion!$C$120,N174&lt;=L_Conversion!$D$120),"-",
IF(AND(M174="04",N174&gt;=L_Conversion!$C$121,N174&lt;=L_Conversion!$D$121),"-",
IF(AND(M174="05",N174&gt;=L_Conversion!$C$122,N174&lt;=L_Conversion!$D$122),"-",
IF(AND(M174="06",N174&gt;=L_Conversion!$C$123,N174&lt;=L_Conversion!$D$123),"-",
IF(AND(M174="07",N174&gt;=L_Conversion!$C$124,N174&lt;=L_Conversion!$D$124),"-",
IF(AND(M174="08",N174&gt;=L_Conversion!$C$125,N174&lt;=L_Conversion!$D$125),"-",
IF(AND(M174="09",N174&gt;=L_Conversion!$C$126,N174&lt;=L_Conversion!$D$126),"-",
IF(AND(M174="10",N174&gt;=L_Conversion!$C$127,N174&lt;=L_Conversion!$D$127),"-",
IF(AND(M174="11",N174&gt;=L_Conversion!$C$128,N174&lt;=L_Conversion!$D$128),"-",
IF(AND(M174="12",N174&gt;=L_Conversion!$C$129,N174&lt;=L_Conversion!$D$129),"-",
IF(AND(M174="13",N174&gt;=L_Conversion!$C$116,N174&lt;=L_Conversion!$D$116),"-",
IF(AND(M174="14",N174&gt;=L_Conversion!$C$117,N174&lt;=L_Conversion!$D$117),"-",
"PRIMER_DIA fuera de rango")))))))))))))))</f>
        <v>-</v>
      </c>
      <c r="AS174" s="86" t="str">
        <f t="shared" si="94"/>
        <v>-</v>
      </c>
      <c r="AT174" s="86" t="str">
        <f t="shared" si="95"/>
        <v>-</v>
      </c>
      <c r="AU174" s="86" t="str">
        <f t="shared" si="96"/>
        <v>-</v>
      </c>
      <c r="AV174" s="86" t="str">
        <f t="shared" si="97"/>
        <v>-</v>
      </c>
      <c r="AW174" s="86" t="str">
        <f t="shared" si="98"/>
        <v>-</v>
      </c>
      <c r="AX174" s="86" t="str">
        <f t="shared" si="99"/>
        <v>-</v>
      </c>
      <c r="AY174" s="86" t="str">
        <f t="shared" si="100"/>
        <v>-</v>
      </c>
      <c r="AZ174" s="86" t="str">
        <f t="shared" si="101"/>
        <v>-</v>
      </c>
      <c r="BA174" s="86" t="str">
        <f t="shared" si="102"/>
        <v>-</v>
      </c>
      <c r="BB174" s="86" t="str">
        <f t="shared" si="103"/>
        <v>-</v>
      </c>
      <c r="BC174" s="86" t="str">
        <f t="shared" si="104"/>
        <v>-</v>
      </c>
      <c r="BD174" s="86" t="str">
        <f t="shared" si="105"/>
        <v>-</v>
      </c>
      <c r="BE174" s="86" t="str">
        <f t="shared" si="106"/>
        <v>-</v>
      </c>
      <c r="BF174" s="86" t="str">
        <f t="shared" si="107"/>
        <v>-</v>
      </c>
    </row>
    <row r="175" spans="1:58" x14ac:dyDescent="0.2">
      <c r="A175" s="19" t="s">
        <v>1144</v>
      </c>
      <c r="B175" s="19" t="s">
        <v>76</v>
      </c>
      <c r="C175" s="19">
        <v>13921753</v>
      </c>
      <c r="D175" s="81">
        <v>5</v>
      </c>
      <c r="E175" s="19" t="s">
        <v>1484</v>
      </c>
      <c r="F175" s="19" t="s">
        <v>1485</v>
      </c>
      <c r="G175" s="19" t="s">
        <v>1201</v>
      </c>
      <c r="H175" s="19" t="s">
        <v>1033</v>
      </c>
      <c r="I175" s="19" t="s">
        <v>662</v>
      </c>
      <c r="J175" s="19">
        <v>80</v>
      </c>
      <c r="K175" s="19" t="s">
        <v>563</v>
      </c>
      <c r="L175" s="19" t="s">
        <v>502</v>
      </c>
      <c r="M175" s="19" t="s">
        <v>21</v>
      </c>
      <c r="N175" s="19">
        <v>45700</v>
      </c>
      <c r="O175" s="19">
        <v>15</v>
      </c>
      <c r="P175" s="81">
        <v>1</v>
      </c>
      <c r="Q175" s="19" t="s">
        <v>23</v>
      </c>
      <c r="R175" s="19" t="s">
        <v>11</v>
      </c>
      <c r="S175" s="19" t="s">
        <v>23</v>
      </c>
      <c r="T175" s="19">
        <v>15</v>
      </c>
      <c r="U175" s="19" t="s">
        <v>11</v>
      </c>
      <c r="V175" s="19" t="s">
        <v>11</v>
      </c>
      <c r="W175" s="19" t="s">
        <v>19</v>
      </c>
      <c r="X175" s="19">
        <v>1612065</v>
      </c>
      <c r="Y175" s="19" t="s">
        <v>735</v>
      </c>
      <c r="Z175" s="19">
        <v>15</v>
      </c>
      <c r="AA175" s="19">
        <v>1612065</v>
      </c>
      <c r="AB175" s="19">
        <v>1612065</v>
      </c>
      <c r="AC175" s="178" t="str">
        <f>IF(OR(M175="13",M175="14",P175=8),"",IF(AND(OR(S175="AUTORIZADO", S175="PENDIENTE", S175="REDUCIDO", S175="AMPLIADO"),L175&lt;&gt;"HONORARIO" ), CONCATENATE(IF(H175="X","H",H175),"_",IF(OR(P175=5,P175=6),_xlfn.CONCAT(P175,"A"),P175),"_",VLOOKUP(T175,Datos!$B$2:$C$5,2,TRUE)),""))</f>
        <v>M_1_[11 +]</v>
      </c>
      <c r="AD175" s="178">
        <f t="shared" si="81"/>
        <v>3224130</v>
      </c>
      <c r="AE175" s="82" t="str">
        <f t="shared" si="82"/>
        <v>-</v>
      </c>
      <c r="AF175" s="83" t="str">
        <f t="shared" si="83"/>
        <v>070601</v>
      </c>
      <c r="AG175" s="84"/>
      <c r="AH175" s="85" t="str">
        <f t="shared" si="84"/>
        <v>Corporación de Fomento de la Producción</v>
      </c>
      <c r="AI175" s="82" t="str">
        <f t="shared" si="85"/>
        <v>-</v>
      </c>
      <c r="AJ175" s="82">
        <f t="shared" si="86"/>
        <v>5</v>
      </c>
      <c r="AK175" s="82" t="str">
        <f t="shared" si="87"/>
        <v>-</v>
      </c>
      <c r="AL175" s="82" t="str">
        <f t="shared" si="88"/>
        <v>Identifica este registro como MUJER</v>
      </c>
      <c r="AM175" s="82" t="str">
        <f t="shared" si="89"/>
        <v>-</v>
      </c>
      <c r="AN175" s="82" t="str">
        <f t="shared" si="90"/>
        <v>-</v>
      </c>
      <c r="AO175" s="82" t="str">
        <f t="shared" si="91"/>
        <v>-</v>
      </c>
      <c r="AP175" s="57" t="str">
        <f t="shared" si="92"/>
        <v>-</v>
      </c>
      <c r="AQ175" s="86" t="str">
        <f t="shared" si="93"/>
        <v>-</v>
      </c>
      <c r="AR175" s="86" t="str">
        <f>IF(N175="","PRIMER_DIA en blanco",
IF(AND(M175="01",N175&gt;=L_Conversion!$C$118,N175&lt;=L_Conversion!$D$118),"-",
IF(AND(M175="02",N175&gt;=L_Conversion!$C$119,N175&lt;=L_Conversion!$D$119),"-",
IF(AND(M175="03",N175&gt;=L_Conversion!$C$120,N175&lt;=L_Conversion!$D$120),"-",
IF(AND(M175="04",N175&gt;=L_Conversion!$C$121,N175&lt;=L_Conversion!$D$121),"-",
IF(AND(M175="05",N175&gt;=L_Conversion!$C$122,N175&lt;=L_Conversion!$D$122),"-",
IF(AND(M175="06",N175&gt;=L_Conversion!$C$123,N175&lt;=L_Conversion!$D$123),"-",
IF(AND(M175="07",N175&gt;=L_Conversion!$C$124,N175&lt;=L_Conversion!$D$124),"-",
IF(AND(M175="08",N175&gt;=L_Conversion!$C$125,N175&lt;=L_Conversion!$D$125),"-",
IF(AND(M175="09",N175&gt;=L_Conversion!$C$126,N175&lt;=L_Conversion!$D$126),"-",
IF(AND(M175="10",N175&gt;=L_Conversion!$C$127,N175&lt;=L_Conversion!$D$127),"-",
IF(AND(M175="11",N175&gt;=L_Conversion!$C$128,N175&lt;=L_Conversion!$D$128),"-",
IF(AND(M175="12",N175&gt;=L_Conversion!$C$129,N175&lt;=L_Conversion!$D$129),"-",
IF(AND(M175="13",N175&gt;=L_Conversion!$C$116,N175&lt;=L_Conversion!$D$116),"-",
IF(AND(M175="14",N175&gt;=L_Conversion!$C$117,N175&lt;=L_Conversion!$D$117),"-",
"PRIMER_DIA fuera de rango")))))))))))))))</f>
        <v>-</v>
      </c>
      <c r="AS175" s="86" t="str">
        <f t="shared" si="94"/>
        <v>-</v>
      </c>
      <c r="AT175" s="86" t="str">
        <f t="shared" si="95"/>
        <v>-</v>
      </c>
      <c r="AU175" s="86" t="str">
        <f t="shared" si="96"/>
        <v>-</v>
      </c>
      <c r="AV175" s="86" t="str">
        <f t="shared" si="97"/>
        <v>-</v>
      </c>
      <c r="AW175" s="86" t="str">
        <f t="shared" si="98"/>
        <v>-</v>
      </c>
      <c r="AX175" s="86" t="str">
        <f t="shared" si="99"/>
        <v>-</v>
      </c>
      <c r="AY175" s="86" t="str">
        <f t="shared" si="100"/>
        <v>-</v>
      </c>
      <c r="AZ175" s="86" t="str">
        <f t="shared" si="101"/>
        <v>-</v>
      </c>
      <c r="BA175" s="86" t="str">
        <f t="shared" si="102"/>
        <v>-</v>
      </c>
      <c r="BB175" s="86" t="str">
        <f t="shared" si="103"/>
        <v>-</v>
      </c>
      <c r="BC175" s="86" t="str">
        <f t="shared" si="104"/>
        <v>-</v>
      </c>
      <c r="BD175" s="86" t="str">
        <f t="shared" si="105"/>
        <v>-</v>
      </c>
      <c r="BE175" s="86" t="str">
        <f t="shared" si="106"/>
        <v>-</v>
      </c>
      <c r="BF175" s="86" t="str">
        <f t="shared" si="107"/>
        <v>-</v>
      </c>
    </row>
    <row r="176" spans="1:58" x14ac:dyDescent="0.2">
      <c r="A176" s="19" t="s">
        <v>1144</v>
      </c>
      <c r="B176" s="19" t="s">
        <v>76</v>
      </c>
      <c r="C176" s="19">
        <v>15925432</v>
      </c>
      <c r="D176" s="81">
        <v>1</v>
      </c>
      <c r="E176" s="19" t="s">
        <v>1486</v>
      </c>
      <c r="F176" s="19" t="s">
        <v>1487</v>
      </c>
      <c r="G176" s="19" t="s">
        <v>1488</v>
      </c>
      <c r="H176" s="19" t="s">
        <v>1033</v>
      </c>
      <c r="I176" s="19" t="s">
        <v>663</v>
      </c>
      <c r="J176" s="19">
        <v>80</v>
      </c>
      <c r="K176" s="19" t="s">
        <v>563</v>
      </c>
      <c r="L176" s="19" t="s">
        <v>512</v>
      </c>
      <c r="M176" s="19" t="s">
        <v>21</v>
      </c>
      <c r="N176" s="19">
        <v>45700</v>
      </c>
      <c r="O176" s="19">
        <v>30</v>
      </c>
      <c r="P176" s="81">
        <v>1</v>
      </c>
      <c r="Q176" s="19" t="s">
        <v>607</v>
      </c>
      <c r="R176" s="19" t="s">
        <v>11</v>
      </c>
      <c r="S176" s="19" t="s">
        <v>607</v>
      </c>
      <c r="T176" s="19">
        <v>30</v>
      </c>
      <c r="U176" s="19" t="s">
        <v>11</v>
      </c>
      <c r="V176" s="19" t="s">
        <v>11</v>
      </c>
      <c r="W176" s="19" t="s">
        <v>11</v>
      </c>
      <c r="X176" s="19">
        <v>0</v>
      </c>
      <c r="Y176" s="19" t="s">
        <v>739</v>
      </c>
      <c r="Z176" s="19">
        <v>0</v>
      </c>
      <c r="AA176" s="19">
        <v>0</v>
      </c>
      <c r="AB176" s="19">
        <v>0</v>
      </c>
      <c r="AC176" s="178" t="str">
        <f>IF(OR(M176="13",M176="14",P176=8),"",IF(AND(OR(S176="AUTORIZADO", S176="PENDIENTE", S176="REDUCIDO", S176="AMPLIADO"),L176&lt;&gt;"HONORARIO" ), CONCATENATE(IF(H176="X","H",H176),"_",IF(OR(P176=5,P176=6),_xlfn.CONCAT(P176,"A"),P176),"_",VLOOKUP(T176,Datos!$B$2:$C$5,2,TRUE)),""))</f>
        <v/>
      </c>
      <c r="AD176" s="178">
        <f t="shared" si="81"/>
        <v>0</v>
      </c>
      <c r="AE176" s="82" t="str">
        <f t="shared" si="82"/>
        <v>-</v>
      </c>
      <c r="AF176" s="83" t="str">
        <f t="shared" si="83"/>
        <v>070601</v>
      </c>
      <c r="AG176" s="84"/>
      <c r="AH176" s="85" t="str">
        <f t="shared" si="84"/>
        <v>Corporación de Fomento de la Producción</v>
      </c>
      <c r="AI176" s="82" t="str">
        <f t="shared" si="85"/>
        <v>-</v>
      </c>
      <c r="AJ176" s="82">
        <f t="shared" si="86"/>
        <v>1</v>
      </c>
      <c r="AK176" s="82" t="str">
        <f t="shared" si="87"/>
        <v>-</v>
      </c>
      <c r="AL176" s="82" t="str">
        <f t="shared" si="88"/>
        <v>Identifica este registro como MUJER</v>
      </c>
      <c r="AM176" s="82" t="str">
        <f t="shared" si="89"/>
        <v>-</v>
      </c>
      <c r="AN176" s="82" t="str">
        <f t="shared" si="90"/>
        <v>-</v>
      </c>
      <c r="AO176" s="82" t="str">
        <f t="shared" si="91"/>
        <v>-</v>
      </c>
      <c r="AP176" s="57" t="str">
        <f t="shared" si="92"/>
        <v>-</v>
      </c>
      <c r="AQ176" s="86" t="str">
        <f t="shared" si="93"/>
        <v>-</v>
      </c>
      <c r="AR176" s="86" t="str">
        <f>IF(N176="","PRIMER_DIA en blanco",
IF(AND(M176="01",N176&gt;=L_Conversion!$C$118,N176&lt;=L_Conversion!$D$118),"-",
IF(AND(M176="02",N176&gt;=L_Conversion!$C$119,N176&lt;=L_Conversion!$D$119),"-",
IF(AND(M176="03",N176&gt;=L_Conversion!$C$120,N176&lt;=L_Conversion!$D$120),"-",
IF(AND(M176="04",N176&gt;=L_Conversion!$C$121,N176&lt;=L_Conversion!$D$121),"-",
IF(AND(M176="05",N176&gt;=L_Conversion!$C$122,N176&lt;=L_Conversion!$D$122),"-",
IF(AND(M176="06",N176&gt;=L_Conversion!$C$123,N176&lt;=L_Conversion!$D$123),"-",
IF(AND(M176="07",N176&gt;=L_Conversion!$C$124,N176&lt;=L_Conversion!$D$124),"-",
IF(AND(M176="08",N176&gt;=L_Conversion!$C$125,N176&lt;=L_Conversion!$D$125),"-",
IF(AND(M176="09",N176&gt;=L_Conversion!$C$126,N176&lt;=L_Conversion!$D$126),"-",
IF(AND(M176="10",N176&gt;=L_Conversion!$C$127,N176&lt;=L_Conversion!$D$127),"-",
IF(AND(M176="11",N176&gt;=L_Conversion!$C$128,N176&lt;=L_Conversion!$D$128),"-",
IF(AND(M176="12",N176&gt;=L_Conversion!$C$129,N176&lt;=L_Conversion!$D$129),"-",
IF(AND(M176="13",N176&gt;=L_Conversion!$C$116,N176&lt;=L_Conversion!$D$116),"-",
IF(AND(M176="14",N176&gt;=L_Conversion!$C$117,N176&lt;=L_Conversion!$D$117),"-",
"PRIMER_DIA fuera de rango")))))))))))))))</f>
        <v>-</v>
      </c>
      <c r="AS176" s="86" t="str">
        <f t="shared" si="94"/>
        <v>-</v>
      </c>
      <c r="AT176" s="86" t="str">
        <f t="shared" si="95"/>
        <v>-</v>
      </c>
      <c r="AU176" s="86" t="str">
        <f t="shared" si="96"/>
        <v>-</v>
      </c>
      <c r="AV176" s="86" t="str">
        <f t="shared" si="97"/>
        <v>-</v>
      </c>
      <c r="AW176" s="86" t="str">
        <f t="shared" si="98"/>
        <v>-</v>
      </c>
      <c r="AX176" s="86" t="str">
        <f t="shared" si="99"/>
        <v>-</v>
      </c>
      <c r="AY176" s="86" t="str">
        <f t="shared" si="100"/>
        <v>-</v>
      </c>
      <c r="AZ176" s="86" t="str">
        <f t="shared" si="101"/>
        <v>-</v>
      </c>
      <c r="BA176" s="86" t="str">
        <f t="shared" si="102"/>
        <v>-</v>
      </c>
      <c r="BB176" s="86" t="str">
        <f t="shared" si="103"/>
        <v>-</v>
      </c>
      <c r="BC176" s="86" t="str">
        <f t="shared" si="104"/>
        <v>-</v>
      </c>
      <c r="BD176" s="86" t="str">
        <f t="shared" si="105"/>
        <v>-</v>
      </c>
      <c r="BE176" s="86" t="str">
        <f t="shared" si="106"/>
        <v>-</v>
      </c>
      <c r="BF176" s="86" t="str">
        <f t="shared" si="107"/>
        <v>-</v>
      </c>
    </row>
    <row r="177" spans="1:58" x14ac:dyDescent="0.2">
      <c r="A177" s="19" t="s">
        <v>1144</v>
      </c>
      <c r="B177" s="19" t="s">
        <v>76</v>
      </c>
      <c r="C177" s="19">
        <v>13600822</v>
      </c>
      <c r="D177" s="81">
        <v>6</v>
      </c>
      <c r="E177" s="19" t="s">
        <v>1181</v>
      </c>
      <c r="F177" s="19" t="s">
        <v>1489</v>
      </c>
      <c r="G177" s="19" t="s">
        <v>1490</v>
      </c>
      <c r="H177" s="19" t="s">
        <v>1033</v>
      </c>
      <c r="I177" s="19" t="s">
        <v>662</v>
      </c>
      <c r="J177" s="19">
        <v>80</v>
      </c>
      <c r="K177" s="19" t="s">
        <v>563</v>
      </c>
      <c r="L177" s="19" t="s">
        <v>502</v>
      </c>
      <c r="M177" s="19" t="s">
        <v>21</v>
      </c>
      <c r="N177" s="19">
        <v>45701</v>
      </c>
      <c r="O177" s="19">
        <v>15</v>
      </c>
      <c r="P177" s="81">
        <v>1</v>
      </c>
      <c r="Q177" s="19" t="s">
        <v>23</v>
      </c>
      <c r="R177" s="19" t="s">
        <v>11</v>
      </c>
      <c r="S177" s="19" t="s">
        <v>23</v>
      </c>
      <c r="T177" s="19">
        <v>15</v>
      </c>
      <c r="U177" s="19" t="s">
        <v>11</v>
      </c>
      <c r="V177" s="19" t="s">
        <v>11</v>
      </c>
      <c r="W177" s="19" t="s">
        <v>19</v>
      </c>
      <c r="X177" s="19">
        <v>1598314</v>
      </c>
      <c r="Y177" s="19" t="s">
        <v>735</v>
      </c>
      <c r="Z177" s="19">
        <v>15</v>
      </c>
      <c r="AA177" s="19">
        <v>1598314</v>
      </c>
      <c r="AB177" s="19">
        <v>1598314</v>
      </c>
      <c r="AC177" s="178" t="str">
        <f>IF(OR(M177="13",M177="14",P177=8),"",IF(AND(OR(S177="AUTORIZADO", S177="PENDIENTE", S177="REDUCIDO", S177="AMPLIADO"),L177&lt;&gt;"HONORARIO" ), CONCATENATE(IF(H177="X","H",H177),"_",IF(OR(P177=5,P177=6),_xlfn.CONCAT(P177,"A"),P177),"_",VLOOKUP(T177,Datos!$B$2:$C$5,2,TRUE)),""))</f>
        <v>M_1_[11 +]</v>
      </c>
      <c r="AD177" s="178">
        <f t="shared" si="81"/>
        <v>3196628</v>
      </c>
      <c r="AE177" s="82" t="str">
        <f t="shared" si="82"/>
        <v>-</v>
      </c>
      <c r="AF177" s="83" t="str">
        <f t="shared" si="83"/>
        <v>070601</v>
      </c>
      <c r="AG177" s="84"/>
      <c r="AH177" s="85" t="str">
        <f t="shared" si="84"/>
        <v>Corporación de Fomento de la Producción</v>
      </c>
      <c r="AI177" s="82" t="str">
        <f t="shared" si="85"/>
        <v>-</v>
      </c>
      <c r="AJ177" s="82">
        <f t="shared" si="86"/>
        <v>6</v>
      </c>
      <c r="AK177" s="82" t="str">
        <f t="shared" si="87"/>
        <v>-</v>
      </c>
      <c r="AL177" s="82" t="str">
        <f t="shared" si="88"/>
        <v>Identifica este registro como MUJER</v>
      </c>
      <c r="AM177" s="82" t="str">
        <f t="shared" si="89"/>
        <v>-</v>
      </c>
      <c r="AN177" s="82" t="str">
        <f t="shared" si="90"/>
        <v>-</v>
      </c>
      <c r="AO177" s="82" t="str">
        <f t="shared" si="91"/>
        <v>-</v>
      </c>
      <c r="AP177" s="57" t="str">
        <f t="shared" si="92"/>
        <v>-</v>
      </c>
      <c r="AQ177" s="86" t="str">
        <f t="shared" si="93"/>
        <v>-</v>
      </c>
      <c r="AR177" s="86" t="str">
        <f>IF(N177="","PRIMER_DIA en blanco",
IF(AND(M177="01",N177&gt;=L_Conversion!$C$118,N177&lt;=L_Conversion!$D$118),"-",
IF(AND(M177="02",N177&gt;=L_Conversion!$C$119,N177&lt;=L_Conversion!$D$119),"-",
IF(AND(M177="03",N177&gt;=L_Conversion!$C$120,N177&lt;=L_Conversion!$D$120),"-",
IF(AND(M177="04",N177&gt;=L_Conversion!$C$121,N177&lt;=L_Conversion!$D$121),"-",
IF(AND(M177="05",N177&gt;=L_Conversion!$C$122,N177&lt;=L_Conversion!$D$122),"-",
IF(AND(M177="06",N177&gt;=L_Conversion!$C$123,N177&lt;=L_Conversion!$D$123),"-",
IF(AND(M177="07",N177&gt;=L_Conversion!$C$124,N177&lt;=L_Conversion!$D$124),"-",
IF(AND(M177="08",N177&gt;=L_Conversion!$C$125,N177&lt;=L_Conversion!$D$125),"-",
IF(AND(M177="09",N177&gt;=L_Conversion!$C$126,N177&lt;=L_Conversion!$D$126),"-",
IF(AND(M177="10",N177&gt;=L_Conversion!$C$127,N177&lt;=L_Conversion!$D$127),"-",
IF(AND(M177="11",N177&gt;=L_Conversion!$C$128,N177&lt;=L_Conversion!$D$128),"-",
IF(AND(M177="12",N177&gt;=L_Conversion!$C$129,N177&lt;=L_Conversion!$D$129),"-",
IF(AND(M177="13",N177&gt;=L_Conversion!$C$116,N177&lt;=L_Conversion!$D$116),"-",
IF(AND(M177="14",N177&gt;=L_Conversion!$C$117,N177&lt;=L_Conversion!$D$117),"-",
"PRIMER_DIA fuera de rango")))))))))))))))</f>
        <v>-</v>
      </c>
      <c r="AS177" s="86" t="str">
        <f t="shared" si="94"/>
        <v>-</v>
      </c>
      <c r="AT177" s="86" t="str">
        <f t="shared" si="95"/>
        <v>-</v>
      </c>
      <c r="AU177" s="86" t="str">
        <f t="shared" si="96"/>
        <v>-</v>
      </c>
      <c r="AV177" s="86" t="str">
        <f t="shared" si="97"/>
        <v>-</v>
      </c>
      <c r="AW177" s="86" t="str">
        <f t="shared" si="98"/>
        <v>-</v>
      </c>
      <c r="AX177" s="86" t="str">
        <f t="shared" si="99"/>
        <v>-</v>
      </c>
      <c r="AY177" s="86" t="str">
        <f t="shared" si="100"/>
        <v>-</v>
      </c>
      <c r="AZ177" s="86" t="str">
        <f t="shared" si="101"/>
        <v>-</v>
      </c>
      <c r="BA177" s="86" t="str">
        <f t="shared" si="102"/>
        <v>-</v>
      </c>
      <c r="BB177" s="86" t="str">
        <f t="shared" si="103"/>
        <v>-</v>
      </c>
      <c r="BC177" s="86" t="str">
        <f t="shared" si="104"/>
        <v>-</v>
      </c>
      <c r="BD177" s="86" t="str">
        <f t="shared" si="105"/>
        <v>-</v>
      </c>
      <c r="BE177" s="86" t="str">
        <f t="shared" si="106"/>
        <v>-</v>
      </c>
      <c r="BF177" s="86" t="str">
        <f t="shared" si="107"/>
        <v>-</v>
      </c>
    </row>
    <row r="178" spans="1:58" x14ac:dyDescent="0.2">
      <c r="A178" s="19" t="s">
        <v>1144</v>
      </c>
      <c r="B178" s="19" t="s">
        <v>76</v>
      </c>
      <c r="C178" s="19">
        <v>15801733</v>
      </c>
      <c r="D178" s="81">
        <v>4</v>
      </c>
      <c r="E178" s="19" t="s">
        <v>1491</v>
      </c>
      <c r="F178" s="19" t="s">
        <v>1492</v>
      </c>
      <c r="G178" s="19" t="s">
        <v>1493</v>
      </c>
      <c r="H178" s="19" t="s">
        <v>1033</v>
      </c>
      <c r="I178" s="19" t="s">
        <v>663</v>
      </c>
      <c r="J178" s="19">
        <v>80</v>
      </c>
      <c r="K178" s="19" t="s">
        <v>563</v>
      </c>
      <c r="L178" s="19" t="s">
        <v>516</v>
      </c>
      <c r="M178" s="19" t="s">
        <v>21</v>
      </c>
      <c r="N178" s="19">
        <v>45701</v>
      </c>
      <c r="O178" s="19">
        <v>15</v>
      </c>
      <c r="P178" s="81">
        <v>1</v>
      </c>
      <c r="Q178" s="19" t="s">
        <v>23</v>
      </c>
      <c r="R178" s="19" t="s">
        <v>11</v>
      </c>
      <c r="S178" s="19" t="s">
        <v>23</v>
      </c>
      <c r="T178" s="19">
        <v>15</v>
      </c>
      <c r="U178" s="19" t="s">
        <v>11</v>
      </c>
      <c r="V178" s="19" t="s">
        <v>11</v>
      </c>
      <c r="W178" s="19" t="s">
        <v>19</v>
      </c>
      <c r="X178" s="19">
        <v>1140051</v>
      </c>
      <c r="Y178" s="19" t="s">
        <v>735</v>
      </c>
      <c r="Z178" s="19">
        <v>15</v>
      </c>
      <c r="AA178" s="19">
        <v>1140051</v>
      </c>
      <c r="AB178" s="19">
        <v>1140051</v>
      </c>
      <c r="AC178" s="178" t="str">
        <f>IF(OR(M178="13",M178="14",P178=8),"",IF(AND(OR(S178="AUTORIZADO", S178="PENDIENTE", S178="REDUCIDO", S178="AMPLIADO"),L178&lt;&gt;"HONORARIO" ), CONCATENATE(IF(H178="X","H",H178),"_",IF(OR(P178=5,P178=6),_xlfn.CONCAT(P178,"A"),P178),"_",VLOOKUP(T178,Datos!$B$2:$C$5,2,TRUE)),""))</f>
        <v>M_1_[11 +]</v>
      </c>
      <c r="AD178" s="178">
        <f t="shared" si="81"/>
        <v>2280102</v>
      </c>
      <c r="AE178" s="82" t="str">
        <f t="shared" si="82"/>
        <v>-</v>
      </c>
      <c r="AF178" s="83" t="str">
        <f t="shared" si="83"/>
        <v>070601</v>
      </c>
      <c r="AG178" s="84"/>
      <c r="AH178" s="85" t="str">
        <f t="shared" si="84"/>
        <v>Corporación de Fomento de la Producción</v>
      </c>
      <c r="AI178" s="82" t="str">
        <f t="shared" si="85"/>
        <v>-</v>
      </c>
      <c r="AJ178" s="82">
        <f t="shared" si="86"/>
        <v>4</v>
      </c>
      <c r="AK178" s="82" t="str">
        <f t="shared" si="87"/>
        <v>-</v>
      </c>
      <c r="AL178" s="82" t="str">
        <f t="shared" si="88"/>
        <v>Identifica este registro como MUJER</v>
      </c>
      <c r="AM178" s="82" t="str">
        <f t="shared" si="89"/>
        <v>-</v>
      </c>
      <c r="AN178" s="82" t="str">
        <f t="shared" si="90"/>
        <v>-</v>
      </c>
      <c r="AO178" s="82" t="str">
        <f t="shared" si="91"/>
        <v>-</v>
      </c>
      <c r="AP178" s="57" t="str">
        <f t="shared" si="92"/>
        <v>-</v>
      </c>
      <c r="AQ178" s="86" t="str">
        <f t="shared" si="93"/>
        <v>-</v>
      </c>
      <c r="AR178" s="86" t="str">
        <f>IF(N178="","PRIMER_DIA en blanco",
IF(AND(M178="01",N178&gt;=L_Conversion!$C$118,N178&lt;=L_Conversion!$D$118),"-",
IF(AND(M178="02",N178&gt;=L_Conversion!$C$119,N178&lt;=L_Conversion!$D$119),"-",
IF(AND(M178="03",N178&gt;=L_Conversion!$C$120,N178&lt;=L_Conversion!$D$120),"-",
IF(AND(M178="04",N178&gt;=L_Conversion!$C$121,N178&lt;=L_Conversion!$D$121),"-",
IF(AND(M178="05",N178&gt;=L_Conversion!$C$122,N178&lt;=L_Conversion!$D$122),"-",
IF(AND(M178="06",N178&gt;=L_Conversion!$C$123,N178&lt;=L_Conversion!$D$123),"-",
IF(AND(M178="07",N178&gt;=L_Conversion!$C$124,N178&lt;=L_Conversion!$D$124),"-",
IF(AND(M178="08",N178&gt;=L_Conversion!$C$125,N178&lt;=L_Conversion!$D$125),"-",
IF(AND(M178="09",N178&gt;=L_Conversion!$C$126,N178&lt;=L_Conversion!$D$126),"-",
IF(AND(M178="10",N178&gt;=L_Conversion!$C$127,N178&lt;=L_Conversion!$D$127),"-",
IF(AND(M178="11",N178&gt;=L_Conversion!$C$128,N178&lt;=L_Conversion!$D$128),"-",
IF(AND(M178="12",N178&gt;=L_Conversion!$C$129,N178&lt;=L_Conversion!$D$129),"-",
IF(AND(M178="13",N178&gt;=L_Conversion!$C$116,N178&lt;=L_Conversion!$D$116),"-",
IF(AND(M178="14",N178&gt;=L_Conversion!$C$117,N178&lt;=L_Conversion!$D$117),"-",
"PRIMER_DIA fuera de rango")))))))))))))))</f>
        <v>-</v>
      </c>
      <c r="AS178" s="86" t="str">
        <f t="shared" si="94"/>
        <v>-</v>
      </c>
      <c r="AT178" s="86" t="str">
        <f t="shared" si="95"/>
        <v>-</v>
      </c>
      <c r="AU178" s="86" t="str">
        <f t="shared" si="96"/>
        <v>-</v>
      </c>
      <c r="AV178" s="86" t="str">
        <f t="shared" si="97"/>
        <v>-</v>
      </c>
      <c r="AW178" s="86" t="str">
        <f t="shared" si="98"/>
        <v>-</v>
      </c>
      <c r="AX178" s="86" t="str">
        <f t="shared" si="99"/>
        <v>-</v>
      </c>
      <c r="AY178" s="86" t="str">
        <f t="shared" si="100"/>
        <v>-</v>
      </c>
      <c r="AZ178" s="86" t="str">
        <f t="shared" si="101"/>
        <v>-</v>
      </c>
      <c r="BA178" s="86" t="str">
        <f t="shared" si="102"/>
        <v>-</v>
      </c>
      <c r="BB178" s="86" t="str">
        <f t="shared" si="103"/>
        <v>-</v>
      </c>
      <c r="BC178" s="86" t="str">
        <f t="shared" si="104"/>
        <v>-</v>
      </c>
      <c r="BD178" s="86" t="str">
        <f t="shared" si="105"/>
        <v>-</v>
      </c>
      <c r="BE178" s="86" t="str">
        <f t="shared" si="106"/>
        <v>-</v>
      </c>
      <c r="BF178" s="86" t="str">
        <f t="shared" si="107"/>
        <v>-</v>
      </c>
    </row>
    <row r="179" spans="1:58" x14ac:dyDescent="0.2">
      <c r="A179" s="19" t="s">
        <v>1144</v>
      </c>
      <c r="B179" s="19" t="s">
        <v>76</v>
      </c>
      <c r="C179" s="19">
        <v>13133772</v>
      </c>
      <c r="D179" s="81">
        <v>8</v>
      </c>
      <c r="E179" s="19" t="s">
        <v>1190</v>
      </c>
      <c r="F179" s="19" t="s">
        <v>1418</v>
      </c>
      <c r="G179" s="19" t="s">
        <v>1178</v>
      </c>
      <c r="H179" s="19" t="s">
        <v>663</v>
      </c>
      <c r="I179" s="19" t="s">
        <v>662</v>
      </c>
      <c r="J179" s="19">
        <v>80</v>
      </c>
      <c r="K179" s="19" t="s">
        <v>567</v>
      </c>
      <c r="L179" s="19" t="s">
        <v>502</v>
      </c>
      <c r="M179" s="19" t="s">
        <v>21</v>
      </c>
      <c r="N179" s="19">
        <v>45701</v>
      </c>
      <c r="O179" s="19">
        <v>2</v>
      </c>
      <c r="P179" s="81">
        <v>1</v>
      </c>
      <c r="Q179" s="19" t="s">
        <v>23</v>
      </c>
      <c r="R179" s="19" t="s">
        <v>11</v>
      </c>
      <c r="S179" s="19" t="s">
        <v>23</v>
      </c>
      <c r="T179" s="19">
        <v>2</v>
      </c>
      <c r="U179" s="19" t="s">
        <v>11</v>
      </c>
      <c r="V179" s="19" t="s">
        <v>19</v>
      </c>
      <c r="W179" s="19" t="s">
        <v>19</v>
      </c>
      <c r="X179" s="19">
        <v>14862</v>
      </c>
      <c r="Y179" s="19" t="s">
        <v>735</v>
      </c>
      <c r="Z179" s="19">
        <v>2</v>
      </c>
      <c r="AA179" s="19">
        <v>14862</v>
      </c>
      <c r="AB179" s="19">
        <v>14862</v>
      </c>
      <c r="AC179" s="178" t="str">
        <f>IF(OR(M179="13",M179="14",P179=8),"",IF(AND(OR(S179="AUTORIZADO", S179="PENDIENTE", S179="REDUCIDO", S179="AMPLIADO"),L179&lt;&gt;"HONORARIO" ), CONCATENATE(IF(H179="X","H",H179),"_",IF(OR(P179=5,P179=6),_xlfn.CONCAT(P179,"A"),P179),"_",VLOOKUP(T179,Datos!$B$2:$C$5,2,TRUE)),""))</f>
        <v>H_1_[hasta 3]</v>
      </c>
      <c r="AD179" s="178">
        <f t="shared" si="81"/>
        <v>29724</v>
      </c>
      <c r="AE179" s="82" t="str">
        <f t="shared" si="82"/>
        <v>-</v>
      </c>
      <c r="AF179" s="83" t="str">
        <f t="shared" si="83"/>
        <v>070601</v>
      </c>
      <c r="AG179" s="84"/>
      <c r="AH179" s="85" t="str">
        <f t="shared" si="84"/>
        <v>Corporación de Fomento de la Producción</v>
      </c>
      <c r="AI179" s="82" t="str">
        <f t="shared" si="85"/>
        <v>-</v>
      </c>
      <c r="AJ179" s="82">
        <f t="shared" si="86"/>
        <v>8</v>
      </c>
      <c r="AK179" s="82" t="str">
        <f t="shared" si="87"/>
        <v>-</v>
      </c>
      <c r="AL179" s="82" t="str">
        <f t="shared" si="88"/>
        <v>Identifica este registro como HOMBRE</v>
      </c>
      <c r="AM179" s="82" t="str">
        <f t="shared" si="89"/>
        <v>-</v>
      </c>
      <c r="AN179" s="82" t="str">
        <f t="shared" si="90"/>
        <v>-</v>
      </c>
      <c r="AO179" s="82" t="str">
        <f t="shared" si="91"/>
        <v>-</v>
      </c>
      <c r="AP179" s="57" t="str">
        <f t="shared" si="92"/>
        <v>-</v>
      </c>
      <c r="AQ179" s="86" t="str">
        <f t="shared" si="93"/>
        <v>-</v>
      </c>
      <c r="AR179" s="86" t="str">
        <f>IF(N179="","PRIMER_DIA en blanco",
IF(AND(M179="01",N179&gt;=L_Conversion!$C$118,N179&lt;=L_Conversion!$D$118),"-",
IF(AND(M179="02",N179&gt;=L_Conversion!$C$119,N179&lt;=L_Conversion!$D$119),"-",
IF(AND(M179="03",N179&gt;=L_Conversion!$C$120,N179&lt;=L_Conversion!$D$120),"-",
IF(AND(M179="04",N179&gt;=L_Conversion!$C$121,N179&lt;=L_Conversion!$D$121),"-",
IF(AND(M179="05",N179&gt;=L_Conversion!$C$122,N179&lt;=L_Conversion!$D$122),"-",
IF(AND(M179="06",N179&gt;=L_Conversion!$C$123,N179&lt;=L_Conversion!$D$123),"-",
IF(AND(M179="07",N179&gt;=L_Conversion!$C$124,N179&lt;=L_Conversion!$D$124),"-",
IF(AND(M179="08",N179&gt;=L_Conversion!$C$125,N179&lt;=L_Conversion!$D$125),"-",
IF(AND(M179="09",N179&gt;=L_Conversion!$C$126,N179&lt;=L_Conversion!$D$126),"-",
IF(AND(M179="10",N179&gt;=L_Conversion!$C$127,N179&lt;=L_Conversion!$D$127),"-",
IF(AND(M179="11",N179&gt;=L_Conversion!$C$128,N179&lt;=L_Conversion!$D$128),"-",
IF(AND(M179="12",N179&gt;=L_Conversion!$C$129,N179&lt;=L_Conversion!$D$129),"-",
IF(AND(M179="13",N179&gt;=L_Conversion!$C$116,N179&lt;=L_Conversion!$D$116),"-",
IF(AND(M179="14",N179&gt;=L_Conversion!$C$117,N179&lt;=L_Conversion!$D$117),"-",
"PRIMER_DIA fuera de rango")))))))))))))))</f>
        <v>-</v>
      </c>
      <c r="AS179" s="86" t="str">
        <f t="shared" si="94"/>
        <v>-</v>
      </c>
      <c r="AT179" s="86" t="str">
        <f t="shared" si="95"/>
        <v>-</v>
      </c>
      <c r="AU179" s="86" t="str">
        <f t="shared" si="96"/>
        <v>-</v>
      </c>
      <c r="AV179" s="86" t="str">
        <f t="shared" si="97"/>
        <v>-</v>
      </c>
      <c r="AW179" s="86" t="str">
        <f t="shared" si="98"/>
        <v>-</v>
      </c>
      <c r="AX179" s="86" t="str">
        <f t="shared" si="99"/>
        <v>-</v>
      </c>
      <c r="AY179" s="86" t="str">
        <f t="shared" si="100"/>
        <v>-</v>
      </c>
      <c r="AZ179" s="86" t="str">
        <f t="shared" si="101"/>
        <v>-</v>
      </c>
      <c r="BA179" s="86" t="str">
        <f t="shared" si="102"/>
        <v>-</v>
      </c>
      <c r="BB179" s="86" t="str">
        <f t="shared" si="103"/>
        <v>-</v>
      </c>
      <c r="BC179" s="86" t="str">
        <f t="shared" si="104"/>
        <v>-</v>
      </c>
      <c r="BD179" s="86" t="str">
        <f t="shared" si="105"/>
        <v>-</v>
      </c>
      <c r="BE179" s="86" t="str">
        <f t="shared" si="106"/>
        <v>-</v>
      </c>
      <c r="BF179" s="86" t="str">
        <f t="shared" si="107"/>
        <v>-</v>
      </c>
    </row>
    <row r="180" spans="1:58" x14ac:dyDescent="0.2">
      <c r="A180" s="19" t="s">
        <v>1144</v>
      </c>
      <c r="B180" s="19" t="s">
        <v>76</v>
      </c>
      <c r="C180" s="19">
        <v>10464332</v>
      </c>
      <c r="D180" s="81">
        <v>9</v>
      </c>
      <c r="E180" s="19" t="s">
        <v>1309</v>
      </c>
      <c r="F180" s="19" t="s">
        <v>1310</v>
      </c>
      <c r="G180" s="19" t="s">
        <v>1311</v>
      </c>
      <c r="H180" s="19" t="s">
        <v>663</v>
      </c>
      <c r="I180" s="19" t="s">
        <v>663</v>
      </c>
      <c r="J180" s="19">
        <v>80</v>
      </c>
      <c r="K180" s="19" t="s">
        <v>567</v>
      </c>
      <c r="L180" s="19" t="s">
        <v>519</v>
      </c>
      <c r="M180" s="19" t="s">
        <v>21</v>
      </c>
      <c r="N180" s="19">
        <v>45701</v>
      </c>
      <c r="O180" s="19">
        <v>30</v>
      </c>
      <c r="P180" s="81">
        <v>1</v>
      </c>
      <c r="Q180" s="19" t="s">
        <v>23</v>
      </c>
      <c r="R180" s="19" t="s">
        <v>11</v>
      </c>
      <c r="S180" s="19" t="s">
        <v>23</v>
      </c>
      <c r="T180" s="19">
        <v>30</v>
      </c>
      <c r="U180" s="19" t="s">
        <v>11</v>
      </c>
      <c r="V180" s="19" t="s">
        <v>11</v>
      </c>
      <c r="W180" s="19" t="s">
        <v>19</v>
      </c>
      <c r="X180" s="19">
        <v>161722</v>
      </c>
      <c r="Y180" s="19" t="s">
        <v>735</v>
      </c>
      <c r="Z180" s="19">
        <v>30</v>
      </c>
      <c r="AA180" s="19">
        <v>161722</v>
      </c>
      <c r="AB180" s="19">
        <v>161722</v>
      </c>
      <c r="AC180" s="178" t="str">
        <f>IF(OR(M180="13",M180="14",P180=8),"",IF(AND(OR(S180="AUTORIZADO", S180="PENDIENTE", S180="REDUCIDO", S180="AMPLIADO"),L180&lt;&gt;"HONORARIO" ), CONCATENATE(IF(H180="X","H",H180),"_",IF(OR(P180=5,P180=6),_xlfn.CONCAT(P180,"A"),P180),"_",VLOOKUP(T180,Datos!$B$2:$C$5,2,TRUE)),""))</f>
        <v>H_1_[11 +]</v>
      </c>
      <c r="AD180" s="178">
        <f t="shared" si="81"/>
        <v>323444</v>
      </c>
      <c r="AE180" s="82" t="str">
        <f t="shared" si="82"/>
        <v>-</v>
      </c>
      <c r="AF180" s="83" t="str">
        <f t="shared" si="83"/>
        <v>070601</v>
      </c>
      <c r="AG180" s="84"/>
      <c r="AH180" s="85" t="str">
        <f t="shared" si="84"/>
        <v>Corporación de Fomento de la Producción</v>
      </c>
      <c r="AI180" s="82" t="str">
        <f t="shared" si="85"/>
        <v>-</v>
      </c>
      <c r="AJ180" s="82">
        <f t="shared" si="86"/>
        <v>9</v>
      </c>
      <c r="AK180" s="82" t="str">
        <f t="shared" si="87"/>
        <v>-</v>
      </c>
      <c r="AL180" s="82" t="str">
        <f t="shared" si="88"/>
        <v>Identifica este registro como HOMBRE</v>
      </c>
      <c r="AM180" s="82" t="str">
        <f t="shared" si="89"/>
        <v>-</v>
      </c>
      <c r="AN180" s="82" t="str">
        <f t="shared" si="90"/>
        <v>-</v>
      </c>
      <c r="AO180" s="82" t="str">
        <f t="shared" si="91"/>
        <v>-</v>
      </c>
      <c r="AP180" s="57" t="str">
        <f t="shared" si="92"/>
        <v>-</v>
      </c>
      <c r="AQ180" s="86" t="str">
        <f t="shared" si="93"/>
        <v>-</v>
      </c>
      <c r="AR180" s="86" t="str">
        <f>IF(N180="","PRIMER_DIA en blanco",
IF(AND(M180="01",N180&gt;=L_Conversion!$C$118,N180&lt;=L_Conversion!$D$118),"-",
IF(AND(M180="02",N180&gt;=L_Conversion!$C$119,N180&lt;=L_Conversion!$D$119),"-",
IF(AND(M180="03",N180&gt;=L_Conversion!$C$120,N180&lt;=L_Conversion!$D$120),"-",
IF(AND(M180="04",N180&gt;=L_Conversion!$C$121,N180&lt;=L_Conversion!$D$121),"-",
IF(AND(M180="05",N180&gt;=L_Conversion!$C$122,N180&lt;=L_Conversion!$D$122),"-",
IF(AND(M180="06",N180&gt;=L_Conversion!$C$123,N180&lt;=L_Conversion!$D$123),"-",
IF(AND(M180="07",N180&gt;=L_Conversion!$C$124,N180&lt;=L_Conversion!$D$124),"-",
IF(AND(M180="08",N180&gt;=L_Conversion!$C$125,N180&lt;=L_Conversion!$D$125),"-",
IF(AND(M180="09",N180&gt;=L_Conversion!$C$126,N180&lt;=L_Conversion!$D$126),"-",
IF(AND(M180="10",N180&gt;=L_Conversion!$C$127,N180&lt;=L_Conversion!$D$127),"-",
IF(AND(M180="11",N180&gt;=L_Conversion!$C$128,N180&lt;=L_Conversion!$D$128),"-",
IF(AND(M180="12",N180&gt;=L_Conversion!$C$129,N180&lt;=L_Conversion!$D$129),"-",
IF(AND(M180="13",N180&gt;=L_Conversion!$C$116,N180&lt;=L_Conversion!$D$116),"-",
IF(AND(M180="14",N180&gt;=L_Conversion!$C$117,N180&lt;=L_Conversion!$D$117),"-",
"PRIMER_DIA fuera de rango")))))))))))))))</f>
        <v>-</v>
      </c>
      <c r="AS180" s="86" t="str">
        <f t="shared" si="94"/>
        <v>-</v>
      </c>
      <c r="AT180" s="86" t="str">
        <f t="shared" si="95"/>
        <v>-</v>
      </c>
      <c r="AU180" s="86" t="str">
        <f t="shared" si="96"/>
        <v>-</v>
      </c>
      <c r="AV180" s="86" t="str">
        <f t="shared" si="97"/>
        <v>-</v>
      </c>
      <c r="AW180" s="86" t="str">
        <f t="shared" si="98"/>
        <v>-</v>
      </c>
      <c r="AX180" s="86" t="str">
        <f t="shared" si="99"/>
        <v>-</v>
      </c>
      <c r="AY180" s="86" t="str">
        <f t="shared" si="100"/>
        <v>-</v>
      </c>
      <c r="AZ180" s="86" t="str">
        <f t="shared" si="101"/>
        <v>-</v>
      </c>
      <c r="BA180" s="86" t="str">
        <f t="shared" si="102"/>
        <v>-</v>
      </c>
      <c r="BB180" s="86" t="str">
        <f t="shared" si="103"/>
        <v>-</v>
      </c>
      <c r="BC180" s="86" t="str">
        <f t="shared" si="104"/>
        <v>-</v>
      </c>
      <c r="BD180" s="86" t="str">
        <f t="shared" si="105"/>
        <v>-</v>
      </c>
      <c r="BE180" s="86" t="str">
        <f t="shared" si="106"/>
        <v>-</v>
      </c>
      <c r="BF180" s="86" t="str">
        <f t="shared" si="107"/>
        <v>-</v>
      </c>
    </row>
    <row r="181" spans="1:58" x14ac:dyDescent="0.2">
      <c r="A181" s="19" t="s">
        <v>1144</v>
      </c>
      <c r="B181" s="19" t="s">
        <v>76</v>
      </c>
      <c r="C181" s="19">
        <v>11897179</v>
      </c>
      <c r="D181" s="81">
        <v>5</v>
      </c>
      <c r="E181" s="19" t="s">
        <v>1442</v>
      </c>
      <c r="F181" s="19" t="s">
        <v>1175</v>
      </c>
      <c r="G181" s="19" t="s">
        <v>1443</v>
      </c>
      <c r="H181" s="19" t="s">
        <v>1033</v>
      </c>
      <c r="I181" s="19" t="s">
        <v>662</v>
      </c>
      <c r="J181" s="19">
        <v>80</v>
      </c>
      <c r="K181" s="19" t="s">
        <v>567</v>
      </c>
      <c r="L181" s="19" t="s">
        <v>502</v>
      </c>
      <c r="M181" s="19" t="s">
        <v>21</v>
      </c>
      <c r="N181" s="19">
        <v>45701</v>
      </c>
      <c r="O181" s="19">
        <v>15</v>
      </c>
      <c r="P181" s="81">
        <v>1</v>
      </c>
      <c r="Q181" s="19" t="s">
        <v>23</v>
      </c>
      <c r="R181" s="19" t="s">
        <v>11</v>
      </c>
      <c r="S181" s="19" t="s">
        <v>23</v>
      </c>
      <c r="T181" s="19">
        <v>15</v>
      </c>
      <c r="U181" s="19" t="s">
        <v>11</v>
      </c>
      <c r="V181" s="19" t="s">
        <v>11</v>
      </c>
      <c r="W181" s="19" t="s">
        <v>19</v>
      </c>
      <c r="X181" s="19">
        <v>1070224</v>
      </c>
      <c r="Y181" s="19" t="s">
        <v>735</v>
      </c>
      <c r="Z181" s="19">
        <v>15</v>
      </c>
      <c r="AA181" s="19">
        <v>1070224</v>
      </c>
      <c r="AB181" s="19">
        <v>1070224</v>
      </c>
      <c r="AC181" s="178" t="str">
        <f>IF(OR(M181="13",M181="14",P181=8),"",IF(AND(OR(S181="AUTORIZADO", S181="PENDIENTE", S181="REDUCIDO", S181="AMPLIADO"),L181&lt;&gt;"HONORARIO" ), CONCATENATE(IF(H181="X","H",H181),"_",IF(OR(P181=5,P181=6),_xlfn.CONCAT(P181,"A"),P181),"_",VLOOKUP(T181,Datos!$B$2:$C$5,2,TRUE)),""))</f>
        <v>M_1_[11 +]</v>
      </c>
      <c r="AD181" s="178">
        <f t="shared" si="81"/>
        <v>2140448</v>
      </c>
      <c r="AE181" s="82" t="str">
        <f t="shared" si="82"/>
        <v>-</v>
      </c>
      <c r="AF181" s="83" t="str">
        <f t="shared" si="83"/>
        <v>070601</v>
      </c>
      <c r="AG181" s="84"/>
      <c r="AH181" s="85" t="str">
        <f t="shared" si="84"/>
        <v>Corporación de Fomento de la Producción</v>
      </c>
      <c r="AI181" s="82" t="str">
        <f t="shared" si="85"/>
        <v>-</v>
      </c>
      <c r="AJ181" s="82">
        <f t="shared" si="86"/>
        <v>5</v>
      </c>
      <c r="AK181" s="82" t="str">
        <f t="shared" si="87"/>
        <v>-</v>
      </c>
      <c r="AL181" s="82" t="str">
        <f t="shared" si="88"/>
        <v>Identifica este registro como MUJER</v>
      </c>
      <c r="AM181" s="82" t="str">
        <f t="shared" si="89"/>
        <v>-</v>
      </c>
      <c r="AN181" s="82" t="str">
        <f t="shared" si="90"/>
        <v>-</v>
      </c>
      <c r="AO181" s="82" t="str">
        <f t="shared" si="91"/>
        <v>-</v>
      </c>
      <c r="AP181" s="57" t="str">
        <f t="shared" si="92"/>
        <v>-</v>
      </c>
      <c r="AQ181" s="86" t="str">
        <f t="shared" si="93"/>
        <v>-</v>
      </c>
      <c r="AR181" s="86" t="str">
        <f>IF(N181="","PRIMER_DIA en blanco",
IF(AND(M181="01",N181&gt;=L_Conversion!$C$118,N181&lt;=L_Conversion!$D$118),"-",
IF(AND(M181="02",N181&gt;=L_Conversion!$C$119,N181&lt;=L_Conversion!$D$119),"-",
IF(AND(M181="03",N181&gt;=L_Conversion!$C$120,N181&lt;=L_Conversion!$D$120),"-",
IF(AND(M181="04",N181&gt;=L_Conversion!$C$121,N181&lt;=L_Conversion!$D$121),"-",
IF(AND(M181="05",N181&gt;=L_Conversion!$C$122,N181&lt;=L_Conversion!$D$122),"-",
IF(AND(M181="06",N181&gt;=L_Conversion!$C$123,N181&lt;=L_Conversion!$D$123),"-",
IF(AND(M181="07",N181&gt;=L_Conversion!$C$124,N181&lt;=L_Conversion!$D$124),"-",
IF(AND(M181="08",N181&gt;=L_Conversion!$C$125,N181&lt;=L_Conversion!$D$125),"-",
IF(AND(M181="09",N181&gt;=L_Conversion!$C$126,N181&lt;=L_Conversion!$D$126),"-",
IF(AND(M181="10",N181&gt;=L_Conversion!$C$127,N181&lt;=L_Conversion!$D$127),"-",
IF(AND(M181="11",N181&gt;=L_Conversion!$C$128,N181&lt;=L_Conversion!$D$128),"-",
IF(AND(M181="12",N181&gt;=L_Conversion!$C$129,N181&lt;=L_Conversion!$D$129),"-",
IF(AND(M181="13",N181&gt;=L_Conversion!$C$116,N181&lt;=L_Conversion!$D$116),"-",
IF(AND(M181="14",N181&gt;=L_Conversion!$C$117,N181&lt;=L_Conversion!$D$117),"-",
"PRIMER_DIA fuera de rango")))))))))))))))</f>
        <v>-</v>
      </c>
      <c r="AS181" s="86" t="str">
        <f t="shared" si="94"/>
        <v>-</v>
      </c>
      <c r="AT181" s="86" t="str">
        <f t="shared" si="95"/>
        <v>-</v>
      </c>
      <c r="AU181" s="86" t="str">
        <f t="shared" si="96"/>
        <v>-</v>
      </c>
      <c r="AV181" s="86" t="str">
        <f t="shared" si="97"/>
        <v>-</v>
      </c>
      <c r="AW181" s="86" t="str">
        <f t="shared" si="98"/>
        <v>-</v>
      </c>
      <c r="AX181" s="86" t="str">
        <f t="shared" si="99"/>
        <v>-</v>
      </c>
      <c r="AY181" s="86" t="str">
        <f t="shared" si="100"/>
        <v>-</v>
      </c>
      <c r="AZ181" s="86" t="str">
        <f t="shared" si="101"/>
        <v>-</v>
      </c>
      <c r="BA181" s="86" t="str">
        <f t="shared" si="102"/>
        <v>-</v>
      </c>
      <c r="BB181" s="86" t="str">
        <f t="shared" si="103"/>
        <v>-</v>
      </c>
      <c r="BC181" s="86" t="str">
        <f t="shared" si="104"/>
        <v>-</v>
      </c>
      <c r="BD181" s="86" t="str">
        <f t="shared" si="105"/>
        <v>-</v>
      </c>
      <c r="BE181" s="86" t="str">
        <f t="shared" si="106"/>
        <v>-</v>
      </c>
      <c r="BF181" s="86" t="str">
        <f t="shared" si="107"/>
        <v>-</v>
      </c>
    </row>
    <row r="182" spans="1:58" x14ac:dyDescent="0.2">
      <c r="A182" s="19" t="s">
        <v>1144</v>
      </c>
      <c r="B182" s="19" t="s">
        <v>76</v>
      </c>
      <c r="C182" s="19">
        <v>10122155</v>
      </c>
      <c r="D182" s="81">
        <v>5</v>
      </c>
      <c r="E182" s="19" t="s">
        <v>1237</v>
      </c>
      <c r="F182" s="19" t="s">
        <v>1156</v>
      </c>
      <c r="G182" s="19" t="s">
        <v>1238</v>
      </c>
      <c r="H182" s="19" t="s">
        <v>1033</v>
      </c>
      <c r="I182" s="19" t="s">
        <v>662</v>
      </c>
      <c r="J182" s="19">
        <v>80</v>
      </c>
      <c r="K182" s="19" t="s">
        <v>563</v>
      </c>
      <c r="L182" s="19" t="s">
        <v>502</v>
      </c>
      <c r="M182" s="19" t="s">
        <v>21</v>
      </c>
      <c r="N182" s="19">
        <v>45702</v>
      </c>
      <c r="O182" s="19">
        <v>8</v>
      </c>
      <c r="P182" s="81">
        <v>1</v>
      </c>
      <c r="Q182" s="19" t="s">
        <v>23</v>
      </c>
      <c r="R182" s="19" t="s">
        <v>11</v>
      </c>
      <c r="S182" s="19" t="s">
        <v>23</v>
      </c>
      <c r="T182" s="19">
        <v>8</v>
      </c>
      <c r="U182" s="19" t="s">
        <v>11</v>
      </c>
      <c r="V182" s="19" t="s">
        <v>11</v>
      </c>
      <c r="W182" s="19" t="s">
        <v>19</v>
      </c>
      <c r="X182" s="19">
        <v>317466</v>
      </c>
      <c r="Y182" s="19" t="s">
        <v>735</v>
      </c>
      <c r="Z182" s="19">
        <v>8</v>
      </c>
      <c r="AA182" s="19">
        <v>317466</v>
      </c>
      <c r="AB182" s="19">
        <v>317466</v>
      </c>
      <c r="AC182" s="178" t="str">
        <f>IF(OR(M182="13",M182="14",P182=8),"",IF(AND(OR(S182="AUTORIZADO", S182="PENDIENTE", S182="REDUCIDO", S182="AMPLIADO"),L182&lt;&gt;"HONORARIO" ), CONCATENATE(IF(H182="X","H",H182),"_",IF(OR(P182=5,P182=6),_xlfn.CONCAT(P182,"A"),P182),"_",VLOOKUP(T182,Datos!$B$2:$C$5,2,TRUE)),""))</f>
        <v>M_1_[4 a 10]</v>
      </c>
      <c r="AD182" s="178">
        <f t="shared" si="81"/>
        <v>634932</v>
      </c>
      <c r="AE182" s="82" t="str">
        <f t="shared" si="82"/>
        <v>-</v>
      </c>
      <c r="AF182" s="83" t="str">
        <f t="shared" si="83"/>
        <v>070601</v>
      </c>
      <c r="AG182" s="84"/>
      <c r="AH182" s="85" t="str">
        <f t="shared" si="84"/>
        <v>Corporación de Fomento de la Producción</v>
      </c>
      <c r="AI182" s="82" t="str">
        <f t="shared" si="85"/>
        <v>-</v>
      </c>
      <c r="AJ182" s="82">
        <f t="shared" si="86"/>
        <v>5</v>
      </c>
      <c r="AK182" s="82" t="str">
        <f t="shared" si="87"/>
        <v>-</v>
      </c>
      <c r="AL182" s="82" t="str">
        <f t="shared" si="88"/>
        <v>Identifica este registro como MUJER</v>
      </c>
      <c r="AM182" s="82" t="str">
        <f t="shared" si="89"/>
        <v>-</v>
      </c>
      <c r="AN182" s="82" t="str">
        <f t="shared" si="90"/>
        <v>-</v>
      </c>
      <c r="AO182" s="82" t="str">
        <f t="shared" si="91"/>
        <v>-</v>
      </c>
      <c r="AP182" s="57" t="str">
        <f t="shared" si="92"/>
        <v>-</v>
      </c>
      <c r="AQ182" s="86" t="str">
        <f t="shared" si="93"/>
        <v>-</v>
      </c>
      <c r="AR182" s="86" t="str">
        <f>IF(N182="","PRIMER_DIA en blanco",
IF(AND(M182="01",N182&gt;=L_Conversion!$C$118,N182&lt;=L_Conversion!$D$118),"-",
IF(AND(M182="02",N182&gt;=L_Conversion!$C$119,N182&lt;=L_Conversion!$D$119),"-",
IF(AND(M182="03",N182&gt;=L_Conversion!$C$120,N182&lt;=L_Conversion!$D$120),"-",
IF(AND(M182="04",N182&gt;=L_Conversion!$C$121,N182&lt;=L_Conversion!$D$121),"-",
IF(AND(M182="05",N182&gt;=L_Conversion!$C$122,N182&lt;=L_Conversion!$D$122),"-",
IF(AND(M182="06",N182&gt;=L_Conversion!$C$123,N182&lt;=L_Conversion!$D$123),"-",
IF(AND(M182="07",N182&gt;=L_Conversion!$C$124,N182&lt;=L_Conversion!$D$124),"-",
IF(AND(M182="08",N182&gt;=L_Conversion!$C$125,N182&lt;=L_Conversion!$D$125),"-",
IF(AND(M182="09",N182&gt;=L_Conversion!$C$126,N182&lt;=L_Conversion!$D$126),"-",
IF(AND(M182="10",N182&gt;=L_Conversion!$C$127,N182&lt;=L_Conversion!$D$127),"-",
IF(AND(M182="11",N182&gt;=L_Conversion!$C$128,N182&lt;=L_Conversion!$D$128),"-",
IF(AND(M182="12",N182&gt;=L_Conversion!$C$129,N182&lt;=L_Conversion!$D$129),"-",
IF(AND(M182="13",N182&gt;=L_Conversion!$C$116,N182&lt;=L_Conversion!$D$116),"-",
IF(AND(M182="14",N182&gt;=L_Conversion!$C$117,N182&lt;=L_Conversion!$D$117),"-",
"PRIMER_DIA fuera de rango")))))))))))))))</f>
        <v>-</v>
      </c>
      <c r="AS182" s="86" t="str">
        <f t="shared" si="94"/>
        <v>-</v>
      </c>
      <c r="AT182" s="86" t="str">
        <f t="shared" si="95"/>
        <v>-</v>
      </c>
      <c r="AU182" s="86" t="str">
        <f t="shared" si="96"/>
        <v>-</v>
      </c>
      <c r="AV182" s="86" t="str">
        <f t="shared" si="97"/>
        <v>-</v>
      </c>
      <c r="AW182" s="86" t="str">
        <f t="shared" si="98"/>
        <v>-</v>
      </c>
      <c r="AX182" s="86" t="str">
        <f t="shared" si="99"/>
        <v>-</v>
      </c>
      <c r="AY182" s="86" t="str">
        <f t="shared" si="100"/>
        <v>-</v>
      </c>
      <c r="AZ182" s="86" t="str">
        <f t="shared" si="101"/>
        <v>-</v>
      </c>
      <c r="BA182" s="86" t="str">
        <f t="shared" si="102"/>
        <v>-</v>
      </c>
      <c r="BB182" s="86" t="str">
        <f t="shared" si="103"/>
        <v>-</v>
      </c>
      <c r="BC182" s="86" t="str">
        <f t="shared" si="104"/>
        <v>-</v>
      </c>
      <c r="BD182" s="86" t="str">
        <f t="shared" si="105"/>
        <v>-</v>
      </c>
      <c r="BE182" s="86" t="str">
        <f t="shared" si="106"/>
        <v>-</v>
      </c>
      <c r="BF182" s="86" t="str">
        <f t="shared" si="107"/>
        <v>-</v>
      </c>
    </row>
    <row r="183" spans="1:58" x14ac:dyDescent="0.2">
      <c r="A183" s="19" t="s">
        <v>1144</v>
      </c>
      <c r="B183" s="19" t="s">
        <v>76</v>
      </c>
      <c r="C183" s="19">
        <v>14178887</v>
      </c>
      <c r="D183" s="81">
        <v>6</v>
      </c>
      <c r="E183" s="19" t="s">
        <v>1162</v>
      </c>
      <c r="F183" s="19" t="s">
        <v>1379</v>
      </c>
      <c r="G183" s="19" t="s">
        <v>1380</v>
      </c>
      <c r="H183" s="19" t="s">
        <v>1033</v>
      </c>
      <c r="I183" s="19" t="s">
        <v>662</v>
      </c>
      <c r="J183" s="19">
        <v>60</v>
      </c>
      <c r="K183" s="19" t="s">
        <v>561</v>
      </c>
      <c r="L183" s="19" t="s">
        <v>497</v>
      </c>
      <c r="M183" s="19" t="s">
        <v>21</v>
      </c>
      <c r="N183" s="19">
        <v>45702</v>
      </c>
      <c r="O183" s="19">
        <v>21</v>
      </c>
      <c r="P183" s="81">
        <v>1</v>
      </c>
      <c r="Q183" s="19" t="s">
        <v>23</v>
      </c>
      <c r="R183" s="19" t="s">
        <v>11</v>
      </c>
      <c r="S183" s="19" t="s">
        <v>23</v>
      </c>
      <c r="T183" s="19">
        <v>21</v>
      </c>
      <c r="U183" s="19" t="s">
        <v>11</v>
      </c>
      <c r="V183" s="19" t="s">
        <v>11</v>
      </c>
      <c r="W183" s="19" t="s">
        <v>19</v>
      </c>
      <c r="X183" s="19">
        <v>2238353</v>
      </c>
      <c r="Y183" s="19" t="s">
        <v>735</v>
      </c>
      <c r="Z183" s="19">
        <v>21</v>
      </c>
      <c r="AA183" s="19">
        <v>2238353</v>
      </c>
      <c r="AB183" s="19">
        <v>2238353</v>
      </c>
      <c r="AC183" s="178" t="str">
        <f>IF(OR(M183="13",M183="14",P183=8),"",IF(AND(OR(S183="AUTORIZADO", S183="PENDIENTE", S183="REDUCIDO", S183="AMPLIADO"),L183&lt;&gt;"HONORARIO" ), CONCATENATE(IF(H183="X","H",H183),"_",IF(OR(P183=5,P183=6),_xlfn.CONCAT(P183,"A"),P183),"_",VLOOKUP(T183,Datos!$B$2:$C$5,2,TRUE)),""))</f>
        <v>M_1_[11 +]</v>
      </c>
      <c r="AD183" s="178">
        <f t="shared" si="81"/>
        <v>4476706</v>
      </c>
      <c r="AE183" s="82" t="str">
        <f t="shared" si="82"/>
        <v>-</v>
      </c>
      <c r="AF183" s="83" t="str">
        <f t="shared" si="83"/>
        <v>070601</v>
      </c>
      <c r="AG183" s="84"/>
      <c r="AH183" s="85" t="str">
        <f t="shared" si="84"/>
        <v>Corporación de Fomento de la Producción</v>
      </c>
      <c r="AI183" s="82" t="str">
        <f t="shared" si="85"/>
        <v>-</v>
      </c>
      <c r="AJ183" s="82">
        <f t="shared" si="86"/>
        <v>6</v>
      </c>
      <c r="AK183" s="82" t="str">
        <f t="shared" si="87"/>
        <v>-</v>
      </c>
      <c r="AL183" s="82" t="str">
        <f t="shared" si="88"/>
        <v>Identifica este registro como MUJER</v>
      </c>
      <c r="AM183" s="82" t="str">
        <f t="shared" si="89"/>
        <v>-</v>
      </c>
      <c r="AN183" s="82" t="str">
        <f t="shared" si="90"/>
        <v>-</v>
      </c>
      <c r="AO183" s="82" t="str">
        <f t="shared" si="91"/>
        <v>-</v>
      </c>
      <c r="AP183" s="57" t="str">
        <f t="shared" si="92"/>
        <v>-</v>
      </c>
      <c r="AQ183" s="86" t="str">
        <f t="shared" si="93"/>
        <v>-</v>
      </c>
      <c r="AR183" s="86" t="str">
        <f>IF(N183="","PRIMER_DIA en blanco",
IF(AND(M183="01",N183&gt;=L_Conversion!$C$118,N183&lt;=L_Conversion!$D$118),"-",
IF(AND(M183="02",N183&gt;=L_Conversion!$C$119,N183&lt;=L_Conversion!$D$119),"-",
IF(AND(M183="03",N183&gt;=L_Conversion!$C$120,N183&lt;=L_Conversion!$D$120),"-",
IF(AND(M183="04",N183&gt;=L_Conversion!$C$121,N183&lt;=L_Conversion!$D$121),"-",
IF(AND(M183="05",N183&gt;=L_Conversion!$C$122,N183&lt;=L_Conversion!$D$122),"-",
IF(AND(M183="06",N183&gt;=L_Conversion!$C$123,N183&lt;=L_Conversion!$D$123),"-",
IF(AND(M183="07",N183&gt;=L_Conversion!$C$124,N183&lt;=L_Conversion!$D$124),"-",
IF(AND(M183="08",N183&gt;=L_Conversion!$C$125,N183&lt;=L_Conversion!$D$125),"-",
IF(AND(M183="09",N183&gt;=L_Conversion!$C$126,N183&lt;=L_Conversion!$D$126),"-",
IF(AND(M183="10",N183&gt;=L_Conversion!$C$127,N183&lt;=L_Conversion!$D$127),"-",
IF(AND(M183="11",N183&gt;=L_Conversion!$C$128,N183&lt;=L_Conversion!$D$128),"-",
IF(AND(M183="12",N183&gt;=L_Conversion!$C$129,N183&lt;=L_Conversion!$D$129),"-",
IF(AND(M183="13",N183&gt;=L_Conversion!$C$116,N183&lt;=L_Conversion!$D$116),"-",
IF(AND(M183="14",N183&gt;=L_Conversion!$C$117,N183&lt;=L_Conversion!$D$117),"-",
"PRIMER_DIA fuera de rango")))))))))))))))</f>
        <v>-</v>
      </c>
      <c r="AS183" s="86" t="str">
        <f t="shared" si="94"/>
        <v>-</v>
      </c>
      <c r="AT183" s="86" t="str">
        <f t="shared" si="95"/>
        <v>-</v>
      </c>
      <c r="AU183" s="86" t="str">
        <f t="shared" si="96"/>
        <v>-</v>
      </c>
      <c r="AV183" s="86" t="str">
        <f t="shared" si="97"/>
        <v>-</v>
      </c>
      <c r="AW183" s="86" t="str">
        <f t="shared" si="98"/>
        <v>-</v>
      </c>
      <c r="AX183" s="86" t="str">
        <f t="shared" si="99"/>
        <v>-</v>
      </c>
      <c r="AY183" s="86" t="str">
        <f t="shared" si="100"/>
        <v>-</v>
      </c>
      <c r="AZ183" s="86" t="str">
        <f t="shared" si="101"/>
        <v>-</v>
      </c>
      <c r="BA183" s="86" t="str">
        <f t="shared" si="102"/>
        <v>-</v>
      </c>
      <c r="BB183" s="86" t="str">
        <f t="shared" si="103"/>
        <v>-</v>
      </c>
      <c r="BC183" s="86" t="str">
        <f t="shared" si="104"/>
        <v>-</v>
      </c>
      <c r="BD183" s="86" t="str">
        <f t="shared" si="105"/>
        <v>-</v>
      </c>
      <c r="BE183" s="86" t="str">
        <f t="shared" si="106"/>
        <v>-</v>
      </c>
      <c r="BF183" s="86" t="str">
        <f t="shared" si="107"/>
        <v>-</v>
      </c>
    </row>
    <row r="184" spans="1:58" x14ac:dyDescent="0.2">
      <c r="A184" s="19" t="s">
        <v>1144</v>
      </c>
      <c r="B184" s="19" t="s">
        <v>76</v>
      </c>
      <c r="C184" s="19">
        <v>15664863</v>
      </c>
      <c r="D184" s="81">
        <v>9</v>
      </c>
      <c r="E184" s="19" t="s">
        <v>1323</v>
      </c>
      <c r="F184" s="19" t="s">
        <v>1162</v>
      </c>
      <c r="G184" s="19" t="s">
        <v>1324</v>
      </c>
      <c r="H184" s="19" t="s">
        <v>1033</v>
      </c>
      <c r="I184" s="19" t="s">
        <v>663</v>
      </c>
      <c r="J184" s="19">
        <v>80</v>
      </c>
      <c r="K184" s="19" t="s">
        <v>563</v>
      </c>
      <c r="L184" s="19" t="s">
        <v>516</v>
      </c>
      <c r="M184" s="19" t="s">
        <v>21</v>
      </c>
      <c r="N184" s="19">
        <v>45702</v>
      </c>
      <c r="O184" s="19">
        <v>30</v>
      </c>
      <c r="P184" s="81">
        <v>4</v>
      </c>
      <c r="Q184" s="19" t="s">
        <v>23</v>
      </c>
      <c r="R184" s="19" t="s">
        <v>11</v>
      </c>
      <c r="S184" s="19" t="s">
        <v>23</v>
      </c>
      <c r="T184" s="19">
        <v>30</v>
      </c>
      <c r="U184" s="19" t="s">
        <v>11</v>
      </c>
      <c r="V184" s="19" t="s">
        <v>11</v>
      </c>
      <c r="W184" s="19" t="s">
        <v>19</v>
      </c>
      <c r="X184" s="19">
        <v>2383527</v>
      </c>
      <c r="Y184" s="19" t="s">
        <v>735</v>
      </c>
      <c r="Z184" s="19">
        <v>30</v>
      </c>
      <c r="AA184" s="19">
        <v>2383527</v>
      </c>
      <c r="AB184" s="19">
        <v>2383527</v>
      </c>
      <c r="AC184" s="178" t="str">
        <f>IF(OR(M184="13",M184="14",P184=8),"",IF(AND(OR(S184="AUTORIZADO", S184="PENDIENTE", S184="REDUCIDO", S184="AMPLIADO"),L184&lt;&gt;"HONORARIO" ), CONCATENATE(IF(H184="X","H",H184),"_",IF(OR(P184=5,P184=6),_xlfn.CONCAT(P184,"A"),P184),"_",VLOOKUP(T184,Datos!$B$2:$C$5,2,TRUE)),""))</f>
        <v>M_4_[11 +]</v>
      </c>
      <c r="AD184" s="178">
        <f t="shared" si="81"/>
        <v>4767054</v>
      </c>
      <c r="AE184" s="82" t="str">
        <f t="shared" si="82"/>
        <v>-</v>
      </c>
      <c r="AF184" s="83" t="str">
        <f t="shared" si="83"/>
        <v>070601</v>
      </c>
      <c r="AG184" s="84"/>
      <c r="AH184" s="85" t="str">
        <f t="shared" si="84"/>
        <v>Corporación de Fomento de la Producción</v>
      </c>
      <c r="AI184" s="82" t="str">
        <f t="shared" si="85"/>
        <v>-</v>
      </c>
      <c r="AJ184" s="82">
        <f t="shared" si="86"/>
        <v>9</v>
      </c>
      <c r="AK184" s="82" t="str">
        <f t="shared" si="87"/>
        <v>-</v>
      </c>
      <c r="AL184" s="82" t="str">
        <f t="shared" si="88"/>
        <v>Identifica este registro como MUJER</v>
      </c>
      <c r="AM184" s="82" t="str">
        <f t="shared" si="89"/>
        <v>-</v>
      </c>
      <c r="AN184" s="82" t="str">
        <f t="shared" si="90"/>
        <v>-</v>
      </c>
      <c r="AO184" s="82" t="str">
        <f t="shared" si="91"/>
        <v>-</v>
      </c>
      <c r="AP184" s="57" t="str">
        <f t="shared" si="92"/>
        <v>-</v>
      </c>
      <c r="AQ184" s="86" t="str">
        <f t="shared" si="93"/>
        <v>-</v>
      </c>
      <c r="AR184" s="86" t="str">
        <f>IF(N184="","PRIMER_DIA en blanco",
IF(AND(M184="01",N184&gt;=L_Conversion!$C$118,N184&lt;=L_Conversion!$D$118),"-",
IF(AND(M184="02",N184&gt;=L_Conversion!$C$119,N184&lt;=L_Conversion!$D$119),"-",
IF(AND(M184="03",N184&gt;=L_Conversion!$C$120,N184&lt;=L_Conversion!$D$120),"-",
IF(AND(M184="04",N184&gt;=L_Conversion!$C$121,N184&lt;=L_Conversion!$D$121),"-",
IF(AND(M184="05",N184&gt;=L_Conversion!$C$122,N184&lt;=L_Conversion!$D$122),"-",
IF(AND(M184="06",N184&gt;=L_Conversion!$C$123,N184&lt;=L_Conversion!$D$123),"-",
IF(AND(M184="07",N184&gt;=L_Conversion!$C$124,N184&lt;=L_Conversion!$D$124),"-",
IF(AND(M184="08",N184&gt;=L_Conversion!$C$125,N184&lt;=L_Conversion!$D$125),"-",
IF(AND(M184="09",N184&gt;=L_Conversion!$C$126,N184&lt;=L_Conversion!$D$126),"-",
IF(AND(M184="10",N184&gt;=L_Conversion!$C$127,N184&lt;=L_Conversion!$D$127),"-",
IF(AND(M184="11",N184&gt;=L_Conversion!$C$128,N184&lt;=L_Conversion!$D$128),"-",
IF(AND(M184="12",N184&gt;=L_Conversion!$C$129,N184&lt;=L_Conversion!$D$129),"-",
IF(AND(M184="13",N184&gt;=L_Conversion!$C$116,N184&lt;=L_Conversion!$D$116),"-",
IF(AND(M184="14",N184&gt;=L_Conversion!$C$117,N184&lt;=L_Conversion!$D$117),"-",
"PRIMER_DIA fuera de rango")))))))))))))))</f>
        <v>-</v>
      </c>
      <c r="AS184" s="86" t="str">
        <f t="shared" si="94"/>
        <v>-</v>
      </c>
      <c r="AT184" s="86" t="str">
        <f t="shared" si="95"/>
        <v>-</v>
      </c>
      <c r="AU184" s="86" t="str">
        <f t="shared" si="96"/>
        <v>-</v>
      </c>
      <c r="AV184" s="86" t="str">
        <f t="shared" si="97"/>
        <v>-</v>
      </c>
      <c r="AW184" s="86" t="str">
        <f t="shared" si="98"/>
        <v>-</v>
      </c>
      <c r="AX184" s="86" t="str">
        <f t="shared" si="99"/>
        <v>-</v>
      </c>
      <c r="AY184" s="86" t="str">
        <f t="shared" si="100"/>
        <v>-</v>
      </c>
      <c r="AZ184" s="86" t="str">
        <f t="shared" si="101"/>
        <v>-</v>
      </c>
      <c r="BA184" s="86" t="str">
        <f t="shared" si="102"/>
        <v>-</v>
      </c>
      <c r="BB184" s="86" t="str">
        <f t="shared" si="103"/>
        <v>-</v>
      </c>
      <c r="BC184" s="86" t="str">
        <f t="shared" si="104"/>
        <v>-</v>
      </c>
      <c r="BD184" s="86" t="str">
        <f t="shared" si="105"/>
        <v>-</v>
      </c>
      <c r="BE184" s="86" t="str">
        <f t="shared" si="106"/>
        <v>-</v>
      </c>
      <c r="BF184" s="86" t="str">
        <f t="shared" si="107"/>
        <v>-</v>
      </c>
    </row>
    <row r="185" spans="1:58" x14ac:dyDescent="0.2">
      <c r="A185" s="19" t="s">
        <v>1144</v>
      </c>
      <c r="B185" s="19" t="s">
        <v>76</v>
      </c>
      <c r="C185" s="19">
        <v>18912622</v>
      </c>
      <c r="D185" s="81">
        <v>0</v>
      </c>
      <c r="E185" s="19" t="s">
        <v>1423</v>
      </c>
      <c r="F185" s="19" t="s">
        <v>1424</v>
      </c>
      <c r="G185" s="19" t="s">
        <v>1425</v>
      </c>
      <c r="H185" s="19" t="s">
        <v>1033</v>
      </c>
      <c r="I185" s="19" t="s">
        <v>662</v>
      </c>
      <c r="J185" s="19">
        <v>80</v>
      </c>
      <c r="K185" s="19" t="s">
        <v>563</v>
      </c>
      <c r="L185" s="19" t="s">
        <v>502</v>
      </c>
      <c r="M185" s="19" t="s">
        <v>21</v>
      </c>
      <c r="N185" s="19">
        <v>45703</v>
      </c>
      <c r="O185" s="19">
        <v>21</v>
      </c>
      <c r="P185" s="81">
        <v>1</v>
      </c>
      <c r="Q185" s="19" t="s">
        <v>23</v>
      </c>
      <c r="R185" s="19" t="s">
        <v>11</v>
      </c>
      <c r="S185" s="19" t="s">
        <v>23</v>
      </c>
      <c r="T185" s="19">
        <v>21</v>
      </c>
      <c r="U185" s="19" t="s">
        <v>11</v>
      </c>
      <c r="V185" s="19" t="s">
        <v>11</v>
      </c>
      <c r="W185" s="19" t="s">
        <v>19</v>
      </c>
      <c r="X185" s="19">
        <v>1896578</v>
      </c>
      <c r="Y185" s="19" t="s">
        <v>735</v>
      </c>
      <c r="Z185" s="19">
        <v>21</v>
      </c>
      <c r="AA185" s="19">
        <v>1896578</v>
      </c>
      <c r="AB185" s="19">
        <v>1896578</v>
      </c>
      <c r="AC185" s="178" t="str">
        <f>IF(OR(M185="13",M185="14",P185=8),"",IF(AND(OR(S185="AUTORIZADO", S185="PENDIENTE", S185="REDUCIDO", S185="AMPLIADO"),L185&lt;&gt;"HONORARIO" ), CONCATENATE(IF(H185="X","H",H185),"_",IF(OR(P185=5,P185=6),_xlfn.CONCAT(P185,"A"),P185),"_",VLOOKUP(T185,Datos!$B$2:$C$5,2,TRUE)),""))</f>
        <v>M_1_[11 +]</v>
      </c>
      <c r="AD185" s="178">
        <f t="shared" si="81"/>
        <v>3793156</v>
      </c>
      <c r="AE185" s="82" t="str">
        <f t="shared" si="82"/>
        <v>-</v>
      </c>
      <c r="AF185" s="83" t="str">
        <f t="shared" si="83"/>
        <v>070601</v>
      </c>
      <c r="AG185" s="84"/>
      <c r="AH185" s="85" t="str">
        <f t="shared" si="84"/>
        <v>Corporación de Fomento de la Producción</v>
      </c>
      <c r="AI185" s="82" t="str">
        <f t="shared" si="85"/>
        <v>-</v>
      </c>
      <c r="AJ185" s="82">
        <f t="shared" si="86"/>
        <v>0</v>
      </c>
      <c r="AK185" s="82" t="str">
        <f t="shared" si="87"/>
        <v>-</v>
      </c>
      <c r="AL185" s="82" t="str">
        <f t="shared" si="88"/>
        <v>Identifica este registro como MUJER</v>
      </c>
      <c r="AM185" s="82" t="str">
        <f t="shared" si="89"/>
        <v>-</v>
      </c>
      <c r="AN185" s="82" t="str">
        <f t="shared" si="90"/>
        <v>-</v>
      </c>
      <c r="AO185" s="82" t="str">
        <f t="shared" si="91"/>
        <v>-</v>
      </c>
      <c r="AP185" s="57" t="str">
        <f t="shared" si="92"/>
        <v>-</v>
      </c>
      <c r="AQ185" s="86" t="str">
        <f t="shared" si="93"/>
        <v>-</v>
      </c>
      <c r="AR185" s="86" t="str">
        <f>IF(N185="","PRIMER_DIA en blanco",
IF(AND(M185="01",N185&gt;=L_Conversion!$C$118,N185&lt;=L_Conversion!$D$118),"-",
IF(AND(M185="02",N185&gt;=L_Conversion!$C$119,N185&lt;=L_Conversion!$D$119),"-",
IF(AND(M185="03",N185&gt;=L_Conversion!$C$120,N185&lt;=L_Conversion!$D$120),"-",
IF(AND(M185="04",N185&gt;=L_Conversion!$C$121,N185&lt;=L_Conversion!$D$121),"-",
IF(AND(M185="05",N185&gt;=L_Conversion!$C$122,N185&lt;=L_Conversion!$D$122),"-",
IF(AND(M185="06",N185&gt;=L_Conversion!$C$123,N185&lt;=L_Conversion!$D$123),"-",
IF(AND(M185="07",N185&gt;=L_Conversion!$C$124,N185&lt;=L_Conversion!$D$124),"-",
IF(AND(M185="08",N185&gt;=L_Conversion!$C$125,N185&lt;=L_Conversion!$D$125),"-",
IF(AND(M185="09",N185&gt;=L_Conversion!$C$126,N185&lt;=L_Conversion!$D$126),"-",
IF(AND(M185="10",N185&gt;=L_Conversion!$C$127,N185&lt;=L_Conversion!$D$127),"-",
IF(AND(M185="11",N185&gt;=L_Conversion!$C$128,N185&lt;=L_Conversion!$D$128),"-",
IF(AND(M185="12",N185&gt;=L_Conversion!$C$129,N185&lt;=L_Conversion!$D$129),"-",
IF(AND(M185="13",N185&gt;=L_Conversion!$C$116,N185&lt;=L_Conversion!$D$116),"-",
IF(AND(M185="14",N185&gt;=L_Conversion!$C$117,N185&lt;=L_Conversion!$D$117),"-",
"PRIMER_DIA fuera de rango")))))))))))))))</f>
        <v>-</v>
      </c>
      <c r="AS185" s="86" t="str">
        <f t="shared" si="94"/>
        <v>-</v>
      </c>
      <c r="AT185" s="86" t="str">
        <f t="shared" si="95"/>
        <v>-</v>
      </c>
      <c r="AU185" s="86" t="str">
        <f t="shared" si="96"/>
        <v>-</v>
      </c>
      <c r="AV185" s="86" t="str">
        <f t="shared" si="97"/>
        <v>-</v>
      </c>
      <c r="AW185" s="86" t="str">
        <f t="shared" si="98"/>
        <v>-</v>
      </c>
      <c r="AX185" s="86" t="str">
        <f t="shared" si="99"/>
        <v>-</v>
      </c>
      <c r="AY185" s="86" t="str">
        <f t="shared" si="100"/>
        <v>-</v>
      </c>
      <c r="AZ185" s="86" t="str">
        <f t="shared" si="101"/>
        <v>-</v>
      </c>
      <c r="BA185" s="86" t="str">
        <f t="shared" si="102"/>
        <v>-</v>
      </c>
      <c r="BB185" s="86" t="str">
        <f t="shared" si="103"/>
        <v>-</v>
      </c>
      <c r="BC185" s="86" t="str">
        <f t="shared" si="104"/>
        <v>-</v>
      </c>
      <c r="BD185" s="86" t="str">
        <f t="shared" si="105"/>
        <v>-</v>
      </c>
      <c r="BE185" s="86" t="str">
        <f t="shared" si="106"/>
        <v>-</v>
      </c>
      <c r="BF185" s="86" t="str">
        <f t="shared" si="107"/>
        <v>-</v>
      </c>
    </row>
    <row r="186" spans="1:58" x14ac:dyDescent="0.2">
      <c r="A186" s="19" t="s">
        <v>1144</v>
      </c>
      <c r="B186" s="19" t="s">
        <v>76</v>
      </c>
      <c r="C186" s="19">
        <v>18693838</v>
      </c>
      <c r="D186" s="81">
        <v>0</v>
      </c>
      <c r="E186" s="19" t="s">
        <v>1182</v>
      </c>
      <c r="F186" s="19" t="s">
        <v>1381</v>
      </c>
      <c r="G186" s="19" t="s">
        <v>1382</v>
      </c>
      <c r="H186" s="19" t="s">
        <v>1033</v>
      </c>
      <c r="I186" s="19" t="s">
        <v>662</v>
      </c>
      <c r="J186" s="19">
        <v>80</v>
      </c>
      <c r="K186" s="19" t="s">
        <v>563</v>
      </c>
      <c r="L186" s="19" t="s">
        <v>502</v>
      </c>
      <c r="M186" s="19" t="s">
        <v>21</v>
      </c>
      <c r="N186" s="19">
        <v>45703</v>
      </c>
      <c r="O186" s="19">
        <v>11</v>
      </c>
      <c r="P186" s="81">
        <v>1</v>
      </c>
      <c r="Q186" s="19" t="s">
        <v>23</v>
      </c>
      <c r="R186" s="19" t="s">
        <v>11</v>
      </c>
      <c r="S186" s="19" t="s">
        <v>23</v>
      </c>
      <c r="T186" s="19">
        <v>11</v>
      </c>
      <c r="U186" s="19" t="s">
        <v>11</v>
      </c>
      <c r="V186" s="19" t="s">
        <v>11</v>
      </c>
      <c r="W186" s="19" t="s">
        <v>19</v>
      </c>
      <c r="X186" s="19">
        <v>853462</v>
      </c>
      <c r="Y186" s="19" t="s">
        <v>735</v>
      </c>
      <c r="Z186" s="19">
        <v>11</v>
      </c>
      <c r="AA186" s="19">
        <v>853462</v>
      </c>
      <c r="AB186" s="19">
        <v>853462</v>
      </c>
      <c r="AC186" s="178" t="str">
        <f>IF(OR(M186="13",M186="14",P186=8),"",IF(AND(OR(S186="AUTORIZADO", S186="PENDIENTE", S186="REDUCIDO", S186="AMPLIADO"),L186&lt;&gt;"HONORARIO" ), CONCATENATE(IF(H186="X","H",H186),"_",IF(OR(P186=5,P186=6),_xlfn.CONCAT(P186,"A"),P186),"_",VLOOKUP(T186,Datos!$B$2:$C$5,2,TRUE)),""))</f>
        <v>M_1_[11 +]</v>
      </c>
      <c r="AD186" s="178">
        <f t="shared" si="81"/>
        <v>1706924</v>
      </c>
      <c r="AE186" s="82" t="str">
        <f t="shared" si="82"/>
        <v>-</v>
      </c>
      <c r="AF186" s="83" t="str">
        <f t="shared" si="83"/>
        <v>070601</v>
      </c>
      <c r="AG186" s="84"/>
      <c r="AH186" s="85" t="str">
        <f t="shared" si="84"/>
        <v>Corporación de Fomento de la Producción</v>
      </c>
      <c r="AI186" s="82" t="str">
        <f t="shared" si="85"/>
        <v>-</v>
      </c>
      <c r="AJ186" s="82">
        <f t="shared" si="86"/>
        <v>0</v>
      </c>
      <c r="AK186" s="82" t="str">
        <f t="shared" si="87"/>
        <v>-</v>
      </c>
      <c r="AL186" s="82" t="str">
        <f t="shared" si="88"/>
        <v>Identifica este registro como MUJER</v>
      </c>
      <c r="AM186" s="82" t="str">
        <f t="shared" si="89"/>
        <v>-</v>
      </c>
      <c r="AN186" s="82" t="str">
        <f t="shared" si="90"/>
        <v>-</v>
      </c>
      <c r="AO186" s="82" t="str">
        <f t="shared" si="91"/>
        <v>-</v>
      </c>
      <c r="AP186" s="57" t="str">
        <f t="shared" si="92"/>
        <v>-</v>
      </c>
      <c r="AQ186" s="86" t="str">
        <f t="shared" si="93"/>
        <v>-</v>
      </c>
      <c r="AR186" s="86" t="str">
        <f>IF(N186="","PRIMER_DIA en blanco",
IF(AND(M186="01",N186&gt;=L_Conversion!$C$118,N186&lt;=L_Conversion!$D$118),"-",
IF(AND(M186="02",N186&gt;=L_Conversion!$C$119,N186&lt;=L_Conversion!$D$119),"-",
IF(AND(M186="03",N186&gt;=L_Conversion!$C$120,N186&lt;=L_Conversion!$D$120),"-",
IF(AND(M186="04",N186&gt;=L_Conversion!$C$121,N186&lt;=L_Conversion!$D$121),"-",
IF(AND(M186="05",N186&gt;=L_Conversion!$C$122,N186&lt;=L_Conversion!$D$122),"-",
IF(AND(M186="06",N186&gt;=L_Conversion!$C$123,N186&lt;=L_Conversion!$D$123),"-",
IF(AND(M186="07",N186&gt;=L_Conversion!$C$124,N186&lt;=L_Conversion!$D$124),"-",
IF(AND(M186="08",N186&gt;=L_Conversion!$C$125,N186&lt;=L_Conversion!$D$125),"-",
IF(AND(M186="09",N186&gt;=L_Conversion!$C$126,N186&lt;=L_Conversion!$D$126),"-",
IF(AND(M186="10",N186&gt;=L_Conversion!$C$127,N186&lt;=L_Conversion!$D$127),"-",
IF(AND(M186="11",N186&gt;=L_Conversion!$C$128,N186&lt;=L_Conversion!$D$128),"-",
IF(AND(M186="12",N186&gt;=L_Conversion!$C$129,N186&lt;=L_Conversion!$D$129),"-",
IF(AND(M186="13",N186&gt;=L_Conversion!$C$116,N186&lt;=L_Conversion!$D$116),"-",
IF(AND(M186="14",N186&gt;=L_Conversion!$C$117,N186&lt;=L_Conversion!$D$117),"-",
"PRIMER_DIA fuera de rango")))))))))))))))</f>
        <v>-</v>
      </c>
      <c r="AS186" s="86" t="str">
        <f t="shared" si="94"/>
        <v>-</v>
      </c>
      <c r="AT186" s="86" t="str">
        <f t="shared" si="95"/>
        <v>-</v>
      </c>
      <c r="AU186" s="86" t="str">
        <f t="shared" si="96"/>
        <v>-</v>
      </c>
      <c r="AV186" s="86" t="str">
        <f t="shared" si="97"/>
        <v>-</v>
      </c>
      <c r="AW186" s="86" t="str">
        <f t="shared" si="98"/>
        <v>-</v>
      </c>
      <c r="AX186" s="86" t="str">
        <f t="shared" si="99"/>
        <v>-</v>
      </c>
      <c r="AY186" s="86" t="str">
        <f t="shared" si="100"/>
        <v>-</v>
      </c>
      <c r="AZ186" s="86" t="str">
        <f t="shared" si="101"/>
        <v>-</v>
      </c>
      <c r="BA186" s="86" t="str">
        <f t="shared" si="102"/>
        <v>-</v>
      </c>
      <c r="BB186" s="86" t="str">
        <f t="shared" si="103"/>
        <v>-</v>
      </c>
      <c r="BC186" s="86" t="str">
        <f t="shared" si="104"/>
        <v>-</v>
      </c>
      <c r="BD186" s="86" t="str">
        <f t="shared" si="105"/>
        <v>-</v>
      </c>
      <c r="BE186" s="86" t="str">
        <f t="shared" si="106"/>
        <v>-</v>
      </c>
      <c r="BF186" s="86" t="str">
        <f t="shared" si="107"/>
        <v>-</v>
      </c>
    </row>
    <row r="187" spans="1:58" x14ac:dyDescent="0.2">
      <c r="A187" s="19" t="s">
        <v>1144</v>
      </c>
      <c r="B187" s="19" t="s">
        <v>76</v>
      </c>
      <c r="C187" s="19">
        <v>10027670</v>
      </c>
      <c r="D187" s="81">
        <v>4</v>
      </c>
      <c r="E187" s="19" t="s">
        <v>1147</v>
      </c>
      <c r="F187" s="19" t="s">
        <v>1341</v>
      </c>
      <c r="G187" s="19" t="s">
        <v>1342</v>
      </c>
      <c r="H187" s="19" t="s">
        <v>663</v>
      </c>
      <c r="I187" s="19" t="s">
        <v>662</v>
      </c>
      <c r="J187" s="19">
        <v>80</v>
      </c>
      <c r="K187" s="19" t="s">
        <v>567</v>
      </c>
      <c r="L187" s="19" t="s">
        <v>502</v>
      </c>
      <c r="M187" s="19" t="s">
        <v>21</v>
      </c>
      <c r="N187" s="19">
        <v>45704</v>
      </c>
      <c r="O187" s="19">
        <v>29</v>
      </c>
      <c r="P187" s="81">
        <v>1</v>
      </c>
      <c r="Q187" s="19" t="s">
        <v>23</v>
      </c>
      <c r="R187" s="19" t="s">
        <v>11</v>
      </c>
      <c r="S187" s="19" t="s">
        <v>23</v>
      </c>
      <c r="T187" s="19">
        <v>29</v>
      </c>
      <c r="U187" s="19" t="s">
        <v>11</v>
      </c>
      <c r="V187" s="19" t="s">
        <v>11</v>
      </c>
      <c r="W187" s="19" t="s">
        <v>19</v>
      </c>
      <c r="X187" s="19">
        <v>421989</v>
      </c>
      <c r="Y187" s="19" t="s">
        <v>735</v>
      </c>
      <c r="Z187" s="19">
        <v>29</v>
      </c>
      <c r="AA187" s="19">
        <v>421989</v>
      </c>
      <c r="AB187" s="19">
        <v>421989</v>
      </c>
      <c r="AC187" s="178" t="str">
        <f>IF(OR(M187="13",M187="14",P187=8),"",IF(AND(OR(S187="AUTORIZADO", S187="PENDIENTE", S187="REDUCIDO", S187="AMPLIADO"),L187&lt;&gt;"HONORARIO" ), CONCATENATE(IF(H187="X","H",H187),"_",IF(OR(P187=5,P187=6),_xlfn.CONCAT(P187,"A"),P187),"_",VLOOKUP(T187,Datos!$B$2:$C$5,2,TRUE)),""))</f>
        <v>H_1_[11 +]</v>
      </c>
      <c r="AD187" s="178">
        <f t="shared" si="81"/>
        <v>843978</v>
      </c>
      <c r="AE187" s="82" t="str">
        <f t="shared" si="82"/>
        <v>-</v>
      </c>
      <c r="AF187" s="83" t="str">
        <f t="shared" si="83"/>
        <v>070601</v>
      </c>
      <c r="AG187" s="84"/>
      <c r="AH187" s="85" t="str">
        <f t="shared" si="84"/>
        <v>Corporación de Fomento de la Producción</v>
      </c>
      <c r="AI187" s="82" t="str">
        <f t="shared" si="85"/>
        <v>-</v>
      </c>
      <c r="AJ187" s="82">
        <f t="shared" si="86"/>
        <v>4</v>
      </c>
      <c r="AK187" s="82" t="str">
        <f t="shared" si="87"/>
        <v>-</v>
      </c>
      <c r="AL187" s="82" t="str">
        <f t="shared" si="88"/>
        <v>Identifica este registro como HOMBRE</v>
      </c>
      <c r="AM187" s="82" t="str">
        <f t="shared" si="89"/>
        <v>-</v>
      </c>
      <c r="AN187" s="82" t="str">
        <f t="shared" si="90"/>
        <v>-</v>
      </c>
      <c r="AO187" s="82" t="str">
        <f t="shared" si="91"/>
        <v>-</v>
      </c>
      <c r="AP187" s="57" t="str">
        <f t="shared" si="92"/>
        <v>-</v>
      </c>
      <c r="AQ187" s="86" t="str">
        <f t="shared" si="93"/>
        <v>-</v>
      </c>
      <c r="AR187" s="86" t="str">
        <f>IF(N187="","PRIMER_DIA en blanco",
IF(AND(M187="01",N187&gt;=L_Conversion!$C$118,N187&lt;=L_Conversion!$D$118),"-",
IF(AND(M187="02",N187&gt;=L_Conversion!$C$119,N187&lt;=L_Conversion!$D$119),"-",
IF(AND(M187="03",N187&gt;=L_Conversion!$C$120,N187&lt;=L_Conversion!$D$120),"-",
IF(AND(M187="04",N187&gt;=L_Conversion!$C$121,N187&lt;=L_Conversion!$D$121),"-",
IF(AND(M187="05",N187&gt;=L_Conversion!$C$122,N187&lt;=L_Conversion!$D$122),"-",
IF(AND(M187="06",N187&gt;=L_Conversion!$C$123,N187&lt;=L_Conversion!$D$123),"-",
IF(AND(M187="07",N187&gt;=L_Conversion!$C$124,N187&lt;=L_Conversion!$D$124),"-",
IF(AND(M187="08",N187&gt;=L_Conversion!$C$125,N187&lt;=L_Conversion!$D$125),"-",
IF(AND(M187="09",N187&gt;=L_Conversion!$C$126,N187&lt;=L_Conversion!$D$126),"-",
IF(AND(M187="10",N187&gt;=L_Conversion!$C$127,N187&lt;=L_Conversion!$D$127),"-",
IF(AND(M187="11",N187&gt;=L_Conversion!$C$128,N187&lt;=L_Conversion!$D$128),"-",
IF(AND(M187="12",N187&gt;=L_Conversion!$C$129,N187&lt;=L_Conversion!$D$129),"-",
IF(AND(M187="13",N187&gt;=L_Conversion!$C$116,N187&lt;=L_Conversion!$D$116),"-",
IF(AND(M187="14",N187&gt;=L_Conversion!$C$117,N187&lt;=L_Conversion!$D$117),"-",
"PRIMER_DIA fuera de rango")))))))))))))))</f>
        <v>-</v>
      </c>
      <c r="AS187" s="86" t="str">
        <f t="shared" si="94"/>
        <v>-</v>
      </c>
      <c r="AT187" s="86" t="str">
        <f t="shared" si="95"/>
        <v>-</v>
      </c>
      <c r="AU187" s="86" t="str">
        <f t="shared" si="96"/>
        <v>-</v>
      </c>
      <c r="AV187" s="86" t="str">
        <f t="shared" si="97"/>
        <v>-</v>
      </c>
      <c r="AW187" s="86" t="str">
        <f t="shared" si="98"/>
        <v>-</v>
      </c>
      <c r="AX187" s="86" t="str">
        <f t="shared" si="99"/>
        <v>-</v>
      </c>
      <c r="AY187" s="86" t="str">
        <f t="shared" si="100"/>
        <v>-</v>
      </c>
      <c r="AZ187" s="86" t="str">
        <f t="shared" si="101"/>
        <v>-</v>
      </c>
      <c r="BA187" s="86" t="str">
        <f t="shared" si="102"/>
        <v>-</v>
      </c>
      <c r="BB187" s="86" t="str">
        <f t="shared" si="103"/>
        <v>-</v>
      </c>
      <c r="BC187" s="86" t="str">
        <f t="shared" si="104"/>
        <v>-</v>
      </c>
      <c r="BD187" s="86" t="str">
        <f t="shared" si="105"/>
        <v>-</v>
      </c>
      <c r="BE187" s="86" t="str">
        <f t="shared" si="106"/>
        <v>-</v>
      </c>
      <c r="BF187" s="86" t="str">
        <f t="shared" si="107"/>
        <v>-</v>
      </c>
    </row>
    <row r="188" spans="1:58" x14ac:dyDescent="0.2">
      <c r="A188" s="19" t="s">
        <v>1144</v>
      </c>
      <c r="B188" s="19" t="s">
        <v>76</v>
      </c>
      <c r="C188" s="19">
        <v>16128559</v>
      </c>
      <c r="D188" s="81">
        <v>5</v>
      </c>
      <c r="E188" s="19" t="s">
        <v>1345</v>
      </c>
      <c r="F188" s="19" t="s">
        <v>1346</v>
      </c>
      <c r="G188" s="19" t="s">
        <v>1347</v>
      </c>
      <c r="H188" s="19" t="s">
        <v>663</v>
      </c>
      <c r="I188" s="19" t="s">
        <v>662</v>
      </c>
      <c r="J188" s="19">
        <v>80</v>
      </c>
      <c r="K188" s="19" t="s">
        <v>563</v>
      </c>
      <c r="L188" s="19" t="s">
        <v>502</v>
      </c>
      <c r="M188" s="19" t="s">
        <v>21</v>
      </c>
      <c r="N188" s="19">
        <v>45705</v>
      </c>
      <c r="O188" s="19">
        <v>2</v>
      </c>
      <c r="P188" s="81">
        <v>1</v>
      </c>
      <c r="Q188" s="19" t="s">
        <v>23</v>
      </c>
      <c r="R188" s="19" t="s">
        <v>11</v>
      </c>
      <c r="S188" s="19" t="s">
        <v>23</v>
      </c>
      <c r="T188" s="19">
        <v>2</v>
      </c>
      <c r="U188" s="19" t="s">
        <v>11</v>
      </c>
      <c r="V188" s="19" t="s">
        <v>19</v>
      </c>
      <c r="W188" s="19" t="s">
        <v>19</v>
      </c>
      <c r="X188" s="19">
        <v>34181</v>
      </c>
      <c r="Y188" s="19" t="s">
        <v>735</v>
      </c>
      <c r="Z188" s="19">
        <v>2</v>
      </c>
      <c r="AA188" s="19">
        <v>34181</v>
      </c>
      <c r="AB188" s="19">
        <v>34181</v>
      </c>
      <c r="AC188" s="178" t="str">
        <f>IF(OR(M188="13",M188="14",P188=8),"",IF(AND(OR(S188="AUTORIZADO", S188="PENDIENTE", S188="REDUCIDO", S188="AMPLIADO"),L188&lt;&gt;"HONORARIO" ), CONCATENATE(IF(H188="X","H",H188),"_",IF(OR(P188=5,P188=6),_xlfn.CONCAT(P188,"A"),P188),"_",VLOOKUP(T188,Datos!$B$2:$C$5,2,TRUE)),""))</f>
        <v>H_1_[hasta 3]</v>
      </c>
      <c r="AD188" s="178">
        <f t="shared" si="81"/>
        <v>68362</v>
      </c>
      <c r="AE188" s="82" t="str">
        <f t="shared" si="82"/>
        <v>-</v>
      </c>
      <c r="AF188" s="83" t="str">
        <f t="shared" si="83"/>
        <v>070601</v>
      </c>
      <c r="AG188" s="84"/>
      <c r="AH188" s="85" t="str">
        <f t="shared" si="84"/>
        <v>Corporación de Fomento de la Producción</v>
      </c>
      <c r="AI188" s="82" t="str">
        <f t="shared" si="85"/>
        <v>-</v>
      </c>
      <c r="AJ188" s="82">
        <f t="shared" si="86"/>
        <v>5</v>
      </c>
      <c r="AK188" s="82" t="str">
        <f t="shared" si="87"/>
        <v>-</v>
      </c>
      <c r="AL188" s="82" t="str">
        <f t="shared" si="88"/>
        <v>Identifica este registro como HOMBRE</v>
      </c>
      <c r="AM188" s="82" t="str">
        <f t="shared" si="89"/>
        <v>-</v>
      </c>
      <c r="AN188" s="82" t="str">
        <f t="shared" si="90"/>
        <v>-</v>
      </c>
      <c r="AO188" s="82" t="str">
        <f t="shared" si="91"/>
        <v>-</v>
      </c>
      <c r="AP188" s="57" t="str">
        <f t="shared" si="92"/>
        <v>-</v>
      </c>
      <c r="AQ188" s="86" t="str">
        <f t="shared" si="93"/>
        <v>-</v>
      </c>
      <c r="AR188" s="86" t="str">
        <f>IF(N188="","PRIMER_DIA en blanco",
IF(AND(M188="01",N188&gt;=L_Conversion!$C$118,N188&lt;=L_Conversion!$D$118),"-",
IF(AND(M188="02",N188&gt;=L_Conversion!$C$119,N188&lt;=L_Conversion!$D$119),"-",
IF(AND(M188="03",N188&gt;=L_Conversion!$C$120,N188&lt;=L_Conversion!$D$120),"-",
IF(AND(M188="04",N188&gt;=L_Conversion!$C$121,N188&lt;=L_Conversion!$D$121),"-",
IF(AND(M188="05",N188&gt;=L_Conversion!$C$122,N188&lt;=L_Conversion!$D$122),"-",
IF(AND(M188="06",N188&gt;=L_Conversion!$C$123,N188&lt;=L_Conversion!$D$123),"-",
IF(AND(M188="07",N188&gt;=L_Conversion!$C$124,N188&lt;=L_Conversion!$D$124),"-",
IF(AND(M188="08",N188&gt;=L_Conversion!$C$125,N188&lt;=L_Conversion!$D$125),"-",
IF(AND(M188="09",N188&gt;=L_Conversion!$C$126,N188&lt;=L_Conversion!$D$126),"-",
IF(AND(M188="10",N188&gt;=L_Conversion!$C$127,N188&lt;=L_Conversion!$D$127),"-",
IF(AND(M188="11",N188&gt;=L_Conversion!$C$128,N188&lt;=L_Conversion!$D$128),"-",
IF(AND(M188="12",N188&gt;=L_Conversion!$C$129,N188&lt;=L_Conversion!$D$129),"-",
IF(AND(M188="13",N188&gt;=L_Conversion!$C$116,N188&lt;=L_Conversion!$D$116),"-",
IF(AND(M188="14",N188&gt;=L_Conversion!$C$117,N188&lt;=L_Conversion!$D$117),"-",
"PRIMER_DIA fuera de rango")))))))))))))))</f>
        <v>-</v>
      </c>
      <c r="AS188" s="86" t="str">
        <f t="shared" si="94"/>
        <v>-</v>
      </c>
      <c r="AT188" s="86" t="str">
        <f t="shared" si="95"/>
        <v>-</v>
      </c>
      <c r="AU188" s="86" t="str">
        <f t="shared" si="96"/>
        <v>-</v>
      </c>
      <c r="AV188" s="86" t="str">
        <f t="shared" si="97"/>
        <v>-</v>
      </c>
      <c r="AW188" s="86" t="str">
        <f t="shared" si="98"/>
        <v>-</v>
      </c>
      <c r="AX188" s="86" t="str">
        <f t="shared" si="99"/>
        <v>-</v>
      </c>
      <c r="AY188" s="86" t="str">
        <f t="shared" si="100"/>
        <v>-</v>
      </c>
      <c r="AZ188" s="86" t="str">
        <f t="shared" si="101"/>
        <v>-</v>
      </c>
      <c r="BA188" s="86" t="str">
        <f t="shared" si="102"/>
        <v>-</v>
      </c>
      <c r="BB188" s="86" t="str">
        <f t="shared" si="103"/>
        <v>-</v>
      </c>
      <c r="BC188" s="86" t="str">
        <f t="shared" si="104"/>
        <v>-</v>
      </c>
      <c r="BD188" s="86" t="str">
        <f t="shared" si="105"/>
        <v>-</v>
      </c>
      <c r="BE188" s="86" t="str">
        <f t="shared" si="106"/>
        <v>-</v>
      </c>
      <c r="BF188" s="86" t="str">
        <f t="shared" si="107"/>
        <v>-</v>
      </c>
    </row>
    <row r="189" spans="1:58" x14ac:dyDescent="0.2">
      <c r="A189" s="19" t="s">
        <v>1144</v>
      </c>
      <c r="B189" s="19" t="s">
        <v>678</v>
      </c>
      <c r="C189" s="19">
        <v>12531557</v>
      </c>
      <c r="D189" s="81">
        <v>7</v>
      </c>
      <c r="E189" s="19" t="s">
        <v>1494</v>
      </c>
      <c r="F189" s="19" t="s">
        <v>1495</v>
      </c>
      <c r="G189" s="19" t="s">
        <v>1203</v>
      </c>
      <c r="H189" s="19" t="s">
        <v>1033</v>
      </c>
      <c r="I189" s="19" t="s">
        <v>663</v>
      </c>
      <c r="J189" s="19">
        <v>80</v>
      </c>
      <c r="K189" s="19" t="s">
        <v>567</v>
      </c>
      <c r="L189" s="19" t="s">
        <v>516</v>
      </c>
      <c r="M189" s="19" t="s">
        <v>21</v>
      </c>
      <c r="N189" s="19">
        <v>45705</v>
      </c>
      <c r="O189" s="19">
        <v>3</v>
      </c>
      <c r="P189" s="81">
        <v>1</v>
      </c>
      <c r="Q189" s="19" t="s">
        <v>23</v>
      </c>
      <c r="R189" s="19" t="s">
        <v>11</v>
      </c>
      <c r="S189" s="19" t="s">
        <v>23</v>
      </c>
      <c r="T189" s="19">
        <v>3</v>
      </c>
      <c r="U189" s="19" t="s">
        <v>11</v>
      </c>
      <c r="V189" s="19" t="s">
        <v>19</v>
      </c>
      <c r="W189" s="19" t="s">
        <v>19</v>
      </c>
      <c r="X189" s="19">
        <v>22023</v>
      </c>
      <c r="Y189" s="19" t="s">
        <v>735</v>
      </c>
      <c r="Z189" s="19">
        <v>3</v>
      </c>
      <c r="AA189" s="19">
        <v>22023</v>
      </c>
      <c r="AB189" s="19">
        <v>22023</v>
      </c>
      <c r="AC189" s="178" t="str">
        <f>IF(OR(M189="13",M189="14",P189=8),"",IF(AND(OR(S189="AUTORIZADO", S189="PENDIENTE", S189="REDUCIDO", S189="AMPLIADO"),L189&lt;&gt;"HONORARIO" ), CONCATENATE(IF(H189="X","H",H189),"_",IF(OR(P189=5,P189=6),_xlfn.CONCAT(P189,"A"),P189),"_",VLOOKUP(T189,Datos!$B$2:$C$5,2,TRUE)),""))</f>
        <v>M_1_[hasta 3]</v>
      </c>
      <c r="AD189" s="178">
        <f t="shared" si="81"/>
        <v>44046</v>
      </c>
      <c r="AE189" s="82" t="str">
        <f t="shared" si="82"/>
        <v>-</v>
      </c>
      <c r="AF189" s="83" t="str">
        <f t="shared" si="83"/>
        <v>Revisar</v>
      </c>
      <c r="AG189" s="84"/>
      <c r="AH189" s="85" t="str">
        <f t="shared" si="84"/>
        <v>Corporación de Fomento de la Producción</v>
      </c>
      <c r="AI189" s="82" t="str">
        <f t="shared" si="85"/>
        <v>-</v>
      </c>
      <c r="AJ189" s="82">
        <f t="shared" si="86"/>
        <v>7</v>
      </c>
      <c r="AK189" s="82" t="str">
        <f t="shared" si="87"/>
        <v>-</v>
      </c>
      <c r="AL189" s="82" t="str">
        <f t="shared" si="88"/>
        <v>Identifica este registro como MUJER</v>
      </c>
      <c r="AM189" s="82" t="str">
        <f t="shared" si="89"/>
        <v>-</v>
      </c>
      <c r="AN189" s="82" t="str">
        <f t="shared" si="90"/>
        <v>-</v>
      </c>
      <c r="AO189" s="82" t="str">
        <f t="shared" si="91"/>
        <v>-</v>
      </c>
      <c r="AP189" s="57" t="str">
        <f t="shared" si="92"/>
        <v>-</v>
      </c>
      <c r="AQ189" s="86" t="str">
        <f t="shared" si="93"/>
        <v>-</v>
      </c>
      <c r="AR189" s="86" t="str">
        <f>IF(N189="","PRIMER_DIA en blanco",
IF(AND(M189="01",N189&gt;=L_Conversion!$C$118,N189&lt;=L_Conversion!$D$118),"-",
IF(AND(M189="02",N189&gt;=L_Conversion!$C$119,N189&lt;=L_Conversion!$D$119),"-",
IF(AND(M189="03",N189&gt;=L_Conversion!$C$120,N189&lt;=L_Conversion!$D$120),"-",
IF(AND(M189="04",N189&gt;=L_Conversion!$C$121,N189&lt;=L_Conversion!$D$121),"-",
IF(AND(M189="05",N189&gt;=L_Conversion!$C$122,N189&lt;=L_Conversion!$D$122),"-",
IF(AND(M189="06",N189&gt;=L_Conversion!$C$123,N189&lt;=L_Conversion!$D$123),"-",
IF(AND(M189="07",N189&gt;=L_Conversion!$C$124,N189&lt;=L_Conversion!$D$124),"-",
IF(AND(M189="08",N189&gt;=L_Conversion!$C$125,N189&lt;=L_Conversion!$D$125),"-",
IF(AND(M189="09",N189&gt;=L_Conversion!$C$126,N189&lt;=L_Conversion!$D$126),"-",
IF(AND(M189="10",N189&gt;=L_Conversion!$C$127,N189&lt;=L_Conversion!$D$127),"-",
IF(AND(M189="11",N189&gt;=L_Conversion!$C$128,N189&lt;=L_Conversion!$D$128),"-",
IF(AND(M189="12",N189&gt;=L_Conversion!$C$129,N189&lt;=L_Conversion!$D$129),"-",
IF(AND(M189="13",N189&gt;=L_Conversion!$C$116,N189&lt;=L_Conversion!$D$116),"-",
IF(AND(M189="14",N189&gt;=L_Conversion!$C$117,N189&lt;=L_Conversion!$D$117),"-",
"PRIMER_DIA fuera de rango")))))))))))))))</f>
        <v>-</v>
      </c>
      <c r="AS189" s="86" t="str">
        <f t="shared" si="94"/>
        <v>-</v>
      </c>
      <c r="AT189" s="86" t="str">
        <f t="shared" si="95"/>
        <v>-</v>
      </c>
      <c r="AU189" s="86" t="str">
        <f t="shared" si="96"/>
        <v>-</v>
      </c>
      <c r="AV189" s="86" t="str">
        <f t="shared" si="97"/>
        <v>-</v>
      </c>
      <c r="AW189" s="86" t="str">
        <f t="shared" si="98"/>
        <v>-</v>
      </c>
      <c r="AX189" s="86" t="str">
        <f t="shared" si="99"/>
        <v>-</v>
      </c>
      <c r="AY189" s="86" t="str">
        <f t="shared" si="100"/>
        <v>-</v>
      </c>
      <c r="AZ189" s="86" t="str">
        <f t="shared" si="101"/>
        <v>-</v>
      </c>
      <c r="BA189" s="86" t="str">
        <f t="shared" si="102"/>
        <v>-</v>
      </c>
      <c r="BB189" s="86" t="str">
        <f t="shared" si="103"/>
        <v>-</v>
      </c>
      <c r="BC189" s="86" t="str">
        <f t="shared" si="104"/>
        <v>-</v>
      </c>
      <c r="BD189" s="86" t="str">
        <f t="shared" si="105"/>
        <v>-</v>
      </c>
      <c r="BE189" s="86" t="str">
        <f t="shared" si="106"/>
        <v>-</v>
      </c>
      <c r="BF189" s="86" t="str">
        <f t="shared" si="107"/>
        <v>-</v>
      </c>
    </row>
    <row r="190" spans="1:58" x14ac:dyDescent="0.2">
      <c r="A190" s="19" t="s">
        <v>1144</v>
      </c>
      <c r="B190" s="19" t="s">
        <v>76</v>
      </c>
      <c r="C190" s="19">
        <v>12800998</v>
      </c>
      <c r="D190" s="81">
        <v>1</v>
      </c>
      <c r="E190" s="19" t="s">
        <v>1303</v>
      </c>
      <c r="F190" s="19" t="s">
        <v>1304</v>
      </c>
      <c r="G190" s="19" t="s">
        <v>1290</v>
      </c>
      <c r="H190" s="19" t="s">
        <v>1033</v>
      </c>
      <c r="I190" s="19" t="s">
        <v>662</v>
      </c>
      <c r="J190" s="19">
        <v>80</v>
      </c>
      <c r="K190" s="19" t="s">
        <v>563</v>
      </c>
      <c r="L190" s="19" t="s">
        <v>502</v>
      </c>
      <c r="M190" s="19" t="s">
        <v>21</v>
      </c>
      <c r="N190" s="19">
        <v>45705</v>
      </c>
      <c r="O190" s="19">
        <v>14</v>
      </c>
      <c r="P190" s="81">
        <v>1</v>
      </c>
      <c r="Q190" s="19" t="s">
        <v>23</v>
      </c>
      <c r="R190" s="19" t="s">
        <v>11</v>
      </c>
      <c r="S190" s="19" t="s">
        <v>23</v>
      </c>
      <c r="T190" s="19">
        <v>14</v>
      </c>
      <c r="U190" s="19" t="s">
        <v>11</v>
      </c>
      <c r="V190" s="19" t="s">
        <v>11</v>
      </c>
      <c r="W190" s="19" t="s">
        <v>19</v>
      </c>
      <c r="X190" s="19">
        <v>1491955</v>
      </c>
      <c r="Y190" s="19" t="s">
        <v>735</v>
      </c>
      <c r="Z190" s="19">
        <v>14</v>
      </c>
      <c r="AA190" s="19">
        <v>1491955</v>
      </c>
      <c r="AB190" s="19">
        <v>1491955</v>
      </c>
      <c r="AC190" s="178" t="str">
        <f>IF(OR(M190="13",M190="14",P190=8),"",IF(AND(OR(S190="AUTORIZADO", S190="PENDIENTE", S190="REDUCIDO", S190="AMPLIADO"),L190&lt;&gt;"HONORARIO" ), CONCATENATE(IF(H190="X","H",H190),"_",IF(OR(P190=5,P190=6),_xlfn.CONCAT(P190,"A"),P190),"_",VLOOKUP(T190,Datos!$B$2:$C$5,2,TRUE)),""))</f>
        <v>M_1_[11 +]</v>
      </c>
      <c r="AD190" s="178">
        <f t="shared" si="81"/>
        <v>2983910</v>
      </c>
      <c r="AE190" s="82" t="str">
        <f t="shared" si="82"/>
        <v>-</v>
      </c>
      <c r="AF190" s="83" t="str">
        <f t="shared" si="83"/>
        <v>070601</v>
      </c>
      <c r="AG190" s="84"/>
      <c r="AH190" s="85" t="str">
        <f t="shared" si="84"/>
        <v>Corporación de Fomento de la Producción</v>
      </c>
      <c r="AI190" s="82" t="str">
        <f t="shared" si="85"/>
        <v>-</v>
      </c>
      <c r="AJ190" s="82">
        <f t="shared" si="86"/>
        <v>1</v>
      </c>
      <c r="AK190" s="82" t="str">
        <f t="shared" si="87"/>
        <v>-</v>
      </c>
      <c r="AL190" s="82" t="str">
        <f t="shared" si="88"/>
        <v>Identifica este registro como MUJER</v>
      </c>
      <c r="AM190" s="82" t="str">
        <f t="shared" si="89"/>
        <v>-</v>
      </c>
      <c r="AN190" s="82" t="str">
        <f t="shared" si="90"/>
        <v>-</v>
      </c>
      <c r="AO190" s="82" t="str">
        <f t="shared" si="91"/>
        <v>-</v>
      </c>
      <c r="AP190" s="57" t="str">
        <f t="shared" si="92"/>
        <v>-</v>
      </c>
      <c r="AQ190" s="86" t="str">
        <f t="shared" si="93"/>
        <v>-</v>
      </c>
      <c r="AR190" s="86" t="str">
        <f>IF(N190="","PRIMER_DIA en blanco",
IF(AND(M190="01",N190&gt;=L_Conversion!$C$118,N190&lt;=L_Conversion!$D$118),"-",
IF(AND(M190="02",N190&gt;=L_Conversion!$C$119,N190&lt;=L_Conversion!$D$119),"-",
IF(AND(M190="03",N190&gt;=L_Conversion!$C$120,N190&lt;=L_Conversion!$D$120),"-",
IF(AND(M190="04",N190&gt;=L_Conversion!$C$121,N190&lt;=L_Conversion!$D$121),"-",
IF(AND(M190="05",N190&gt;=L_Conversion!$C$122,N190&lt;=L_Conversion!$D$122),"-",
IF(AND(M190="06",N190&gt;=L_Conversion!$C$123,N190&lt;=L_Conversion!$D$123),"-",
IF(AND(M190="07",N190&gt;=L_Conversion!$C$124,N190&lt;=L_Conversion!$D$124),"-",
IF(AND(M190="08",N190&gt;=L_Conversion!$C$125,N190&lt;=L_Conversion!$D$125),"-",
IF(AND(M190="09",N190&gt;=L_Conversion!$C$126,N190&lt;=L_Conversion!$D$126),"-",
IF(AND(M190="10",N190&gt;=L_Conversion!$C$127,N190&lt;=L_Conversion!$D$127),"-",
IF(AND(M190="11",N190&gt;=L_Conversion!$C$128,N190&lt;=L_Conversion!$D$128),"-",
IF(AND(M190="12",N190&gt;=L_Conversion!$C$129,N190&lt;=L_Conversion!$D$129),"-",
IF(AND(M190="13",N190&gt;=L_Conversion!$C$116,N190&lt;=L_Conversion!$D$116),"-",
IF(AND(M190="14",N190&gt;=L_Conversion!$C$117,N190&lt;=L_Conversion!$D$117),"-",
"PRIMER_DIA fuera de rango")))))))))))))))</f>
        <v>-</v>
      </c>
      <c r="AS190" s="86" t="str">
        <f t="shared" si="94"/>
        <v>-</v>
      </c>
      <c r="AT190" s="86" t="str">
        <f t="shared" si="95"/>
        <v>-</v>
      </c>
      <c r="AU190" s="86" t="str">
        <f t="shared" si="96"/>
        <v>-</v>
      </c>
      <c r="AV190" s="86" t="str">
        <f t="shared" si="97"/>
        <v>-</v>
      </c>
      <c r="AW190" s="86" t="str">
        <f t="shared" si="98"/>
        <v>-</v>
      </c>
      <c r="AX190" s="86" t="str">
        <f t="shared" si="99"/>
        <v>-</v>
      </c>
      <c r="AY190" s="86" t="str">
        <f t="shared" si="100"/>
        <v>-</v>
      </c>
      <c r="AZ190" s="86" t="str">
        <f t="shared" si="101"/>
        <v>-</v>
      </c>
      <c r="BA190" s="86" t="str">
        <f t="shared" si="102"/>
        <v>-</v>
      </c>
      <c r="BB190" s="86" t="str">
        <f t="shared" si="103"/>
        <v>-</v>
      </c>
      <c r="BC190" s="86" t="str">
        <f t="shared" si="104"/>
        <v>-</v>
      </c>
      <c r="BD190" s="86" t="str">
        <f t="shared" si="105"/>
        <v>-</v>
      </c>
      <c r="BE190" s="86" t="str">
        <f t="shared" si="106"/>
        <v>-</v>
      </c>
      <c r="BF190" s="86" t="str">
        <f t="shared" si="107"/>
        <v>-</v>
      </c>
    </row>
    <row r="191" spans="1:58" x14ac:dyDescent="0.2">
      <c r="A191" s="19" t="s">
        <v>1144</v>
      </c>
      <c r="B191" s="19" t="s">
        <v>76</v>
      </c>
      <c r="C191" s="19">
        <v>17956353</v>
      </c>
      <c r="D191" s="81">
        <v>3</v>
      </c>
      <c r="E191" s="19" t="s">
        <v>1496</v>
      </c>
      <c r="F191" s="19" t="s">
        <v>1497</v>
      </c>
      <c r="G191" s="19" t="s">
        <v>1498</v>
      </c>
      <c r="H191" s="19" t="s">
        <v>1033</v>
      </c>
      <c r="I191" s="19" t="s">
        <v>662</v>
      </c>
      <c r="J191" s="19">
        <v>80</v>
      </c>
      <c r="K191" s="19" t="s">
        <v>567</v>
      </c>
      <c r="L191" s="19" t="s">
        <v>502</v>
      </c>
      <c r="M191" s="19" t="s">
        <v>21</v>
      </c>
      <c r="N191" s="19">
        <v>45705</v>
      </c>
      <c r="O191" s="19">
        <v>3</v>
      </c>
      <c r="P191" s="81">
        <v>1</v>
      </c>
      <c r="Q191" s="19" t="s">
        <v>23</v>
      </c>
      <c r="R191" s="19" t="s">
        <v>11</v>
      </c>
      <c r="S191" s="19" t="s">
        <v>23</v>
      </c>
      <c r="T191" s="19">
        <v>3</v>
      </c>
      <c r="U191" s="19" t="s">
        <v>11</v>
      </c>
      <c r="V191" s="19" t="s">
        <v>19</v>
      </c>
      <c r="W191" s="19" t="s">
        <v>19</v>
      </c>
      <c r="X191" s="19">
        <v>41387</v>
      </c>
      <c r="Y191" s="19" t="s">
        <v>735</v>
      </c>
      <c r="Z191" s="19">
        <v>3</v>
      </c>
      <c r="AA191" s="19">
        <v>41387</v>
      </c>
      <c r="AB191" s="19">
        <v>41387</v>
      </c>
      <c r="AC191" s="178" t="str">
        <f>IF(OR(M191="13",M191="14",P191=8),"",IF(AND(OR(S191="AUTORIZADO", S191="PENDIENTE", S191="REDUCIDO", S191="AMPLIADO"),L191&lt;&gt;"HONORARIO" ), CONCATENATE(IF(H191="X","H",H191),"_",IF(OR(P191=5,P191=6),_xlfn.CONCAT(P191,"A"),P191),"_",VLOOKUP(T191,Datos!$B$2:$C$5,2,TRUE)),""))</f>
        <v>M_1_[hasta 3]</v>
      </c>
      <c r="AD191" s="178">
        <f t="shared" si="81"/>
        <v>82774</v>
      </c>
      <c r="AE191" s="82" t="str">
        <f t="shared" si="82"/>
        <v>-</v>
      </c>
      <c r="AF191" s="83" t="str">
        <f t="shared" si="83"/>
        <v>070601</v>
      </c>
      <c r="AG191" s="84"/>
      <c r="AH191" s="85" t="str">
        <f t="shared" si="84"/>
        <v>Corporación de Fomento de la Producción</v>
      </c>
      <c r="AI191" s="82" t="str">
        <f t="shared" si="85"/>
        <v>-</v>
      </c>
      <c r="AJ191" s="82">
        <f t="shared" si="86"/>
        <v>3</v>
      </c>
      <c r="AK191" s="82" t="str">
        <f t="shared" si="87"/>
        <v>-</v>
      </c>
      <c r="AL191" s="82" t="str">
        <f t="shared" si="88"/>
        <v>Identifica este registro como MUJER</v>
      </c>
      <c r="AM191" s="82" t="str">
        <f t="shared" si="89"/>
        <v>-</v>
      </c>
      <c r="AN191" s="82" t="str">
        <f t="shared" si="90"/>
        <v>-</v>
      </c>
      <c r="AO191" s="82" t="str">
        <f t="shared" si="91"/>
        <v>-</v>
      </c>
      <c r="AP191" s="57" t="str">
        <f t="shared" si="92"/>
        <v>-</v>
      </c>
      <c r="AQ191" s="86" t="str">
        <f t="shared" si="93"/>
        <v>-</v>
      </c>
      <c r="AR191" s="86" t="str">
        <f>IF(N191="","PRIMER_DIA en blanco",
IF(AND(M191="01",N191&gt;=L_Conversion!$C$118,N191&lt;=L_Conversion!$D$118),"-",
IF(AND(M191="02",N191&gt;=L_Conversion!$C$119,N191&lt;=L_Conversion!$D$119),"-",
IF(AND(M191="03",N191&gt;=L_Conversion!$C$120,N191&lt;=L_Conversion!$D$120),"-",
IF(AND(M191="04",N191&gt;=L_Conversion!$C$121,N191&lt;=L_Conversion!$D$121),"-",
IF(AND(M191="05",N191&gt;=L_Conversion!$C$122,N191&lt;=L_Conversion!$D$122),"-",
IF(AND(M191="06",N191&gt;=L_Conversion!$C$123,N191&lt;=L_Conversion!$D$123),"-",
IF(AND(M191="07",N191&gt;=L_Conversion!$C$124,N191&lt;=L_Conversion!$D$124),"-",
IF(AND(M191="08",N191&gt;=L_Conversion!$C$125,N191&lt;=L_Conversion!$D$125),"-",
IF(AND(M191="09",N191&gt;=L_Conversion!$C$126,N191&lt;=L_Conversion!$D$126),"-",
IF(AND(M191="10",N191&gt;=L_Conversion!$C$127,N191&lt;=L_Conversion!$D$127),"-",
IF(AND(M191="11",N191&gt;=L_Conversion!$C$128,N191&lt;=L_Conversion!$D$128),"-",
IF(AND(M191="12",N191&gt;=L_Conversion!$C$129,N191&lt;=L_Conversion!$D$129),"-",
IF(AND(M191="13",N191&gt;=L_Conversion!$C$116,N191&lt;=L_Conversion!$D$116),"-",
IF(AND(M191="14",N191&gt;=L_Conversion!$C$117,N191&lt;=L_Conversion!$D$117),"-",
"PRIMER_DIA fuera de rango")))))))))))))))</f>
        <v>-</v>
      </c>
      <c r="AS191" s="86" t="str">
        <f t="shared" si="94"/>
        <v>-</v>
      </c>
      <c r="AT191" s="86" t="str">
        <f t="shared" si="95"/>
        <v>-</v>
      </c>
      <c r="AU191" s="86" t="str">
        <f t="shared" si="96"/>
        <v>-</v>
      </c>
      <c r="AV191" s="86" t="str">
        <f t="shared" si="97"/>
        <v>-</v>
      </c>
      <c r="AW191" s="86" t="str">
        <f t="shared" si="98"/>
        <v>-</v>
      </c>
      <c r="AX191" s="86" t="str">
        <f t="shared" si="99"/>
        <v>-</v>
      </c>
      <c r="AY191" s="86" t="str">
        <f t="shared" si="100"/>
        <v>-</v>
      </c>
      <c r="AZ191" s="86" t="str">
        <f t="shared" si="101"/>
        <v>-</v>
      </c>
      <c r="BA191" s="86" t="str">
        <f t="shared" si="102"/>
        <v>-</v>
      </c>
      <c r="BB191" s="86" t="str">
        <f t="shared" si="103"/>
        <v>-</v>
      </c>
      <c r="BC191" s="86" t="str">
        <f t="shared" si="104"/>
        <v>-</v>
      </c>
      <c r="BD191" s="86" t="str">
        <f t="shared" si="105"/>
        <v>-</v>
      </c>
      <c r="BE191" s="86" t="str">
        <f t="shared" si="106"/>
        <v>-</v>
      </c>
      <c r="BF191" s="86" t="str">
        <f t="shared" si="107"/>
        <v>-</v>
      </c>
    </row>
    <row r="192" spans="1:58" x14ac:dyDescent="0.2">
      <c r="A192" s="19" t="s">
        <v>1144</v>
      </c>
      <c r="B192" s="19" t="s">
        <v>76</v>
      </c>
      <c r="C192" s="19">
        <v>17457296</v>
      </c>
      <c r="D192" s="81">
        <v>8</v>
      </c>
      <c r="E192" s="19" t="s">
        <v>1210</v>
      </c>
      <c r="F192" s="19" t="s">
        <v>1211</v>
      </c>
      <c r="G192" s="19" t="s">
        <v>1212</v>
      </c>
      <c r="H192" s="19" t="s">
        <v>1033</v>
      </c>
      <c r="I192" s="19" t="s">
        <v>663</v>
      </c>
      <c r="J192" s="19">
        <v>80</v>
      </c>
      <c r="K192" s="19" t="s">
        <v>563</v>
      </c>
      <c r="L192" s="19" t="s">
        <v>516</v>
      </c>
      <c r="M192" s="19" t="s">
        <v>21</v>
      </c>
      <c r="N192" s="19">
        <v>45706</v>
      </c>
      <c r="O192" s="19">
        <v>84</v>
      </c>
      <c r="P192" s="81">
        <v>3</v>
      </c>
      <c r="Q192" s="19" t="s">
        <v>23</v>
      </c>
      <c r="R192" s="19" t="s">
        <v>11</v>
      </c>
      <c r="S192" s="19" t="s">
        <v>23</v>
      </c>
      <c r="T192" s="19">
        <v>84</v>
      </c>
      <c r="U192" s="19" t="s">
        <v>11</v>
      </c>
      <c r="V192" s="19" t="s">
        <v>11</v>
      </c>
      <c r="W192" s="19" t="s">
        <v>19</v>
      </c>
      <c r="X192" s="19">
        <v>4110937</v>
      </c>
      <c r="Y192" s="19" t="s">
        <v>735</v>
      </c>
      <c r="Z192" s="19">
        <v>84</v>
      </c>
      <c r="AA192" s="19">
        <v>4110937</v>
      </c>
      <c r="AB192" s="19">
        <v>4110937</v>
      </c>
      <c r="AC192" s="178" t="str">
        <f>IF(OR(M192="13",M192="14",P192=8),"",IF(AND(OR(S192="AUTORIZADO", S192="PENDIENTE", S192="REDUCIDO", S192="AMPLIADO"),L192&lt;&gt;"HONORARIO" ), CONCATENATE(IF(H192="X","H",H192),"_",IF(OR(P192=5,P192=6),_xlfn.CONCAT(P192,"A"),P192),"_",VLOOKUP(T192,Datos!$B$2:$C$5,2,TRUE)),""))</f>
        <v>M_3_[11 +]</v>
      </c>
      <c r="AD192" s="178">
        <f t="shared" si="81"/>
        <v>8221874</v>
      </c>
      <c r="AE192" s="82" t="str">
        <f t="shared" si="82"/>
        <v>-</v>
      </c>
      <c r="AF192" s="83" t="str">
        <f t="shared" si="83"/>
        <v>070601</v>
      </c>
      <c r="AG192" s="84"/>
      <c r="AH192" s="85" t="str">
        <f t="shared" si="84"/>
        <v>Corporación de Fomento de la Producción</v>
      </c>
      <c r="AI192" s="82" t="str">
        <f t="shared" si="85"/>
        <v>-</v>
      </c>
      <c r="AJ192" s="82">
        <f t="shared" si="86"/>
        <v>8</v>
      </c>
      <c r="AK192" s="82" t="str">
        <f t="shared" si="87"/>
        <v>-</v>
      </c>
      <c r="AL192" s="82" t="str">
        <f t="shared" si="88"/>
        <v>Identifica este registro como MUJER</v>
      </c>
      <c r="AM192" s="82" t="str">
        <f t="shared" si="89"/>
        <v>-</v>
      </c>
      <c r="AN192" s="82" t="str">
        <f t="shared" si="90"/>
        <v>-</v>
      </c>
      <c r="AO192" s="82" t="str">
        <f t="shared" si="91"/>
        <v>-</v>
      </c>
      <c r="AP192" s="57" t="str">
        <f t="shared" si="92"/>
        <v>-</v>
      </c>
      <c r="AQ192" s="86" t="str">
        <f t="shared" si="93"/>
        <v>-</v>
      </c>
      <c r="AR192" s="86" t="str">
        <f>IF(N192="","PRIMER_DIA en blanco",
IF(AND(M192="01",N192&gt;=L_Conversion!$C$118,N192&lt;=L_Conversion!$D$118),"-",
IF(AND(M192="02",N192&gt;=L_Conversion!$C$119,N192&lt;=L_Conversion!$D$119),"-",
IF(AND(M192="03",N192&gt;=L_Conversion!$C$120,N192&lt;=L_Conversion!$D$120),"-",
IF(AND(M192="04",N192&gt;=L_Conversion!$C$121,N192&lt;=L_Conversion!$D$121),"-",
IF(AND(M192="05",N192&gt;=L_Conversion!$C$122,N192&lt;=L_Conversion!$D$122),"-",
IF(AND(M192="06",N192&gt;=L_Conversion!$C$123,N192&lt;=L_Conversion!$D$123),"-",
IF(AND(M192="07",N192&gt;=L_Conversion!$C$124,N192&lt;=L_Conversion!$D$124),"-",
IF(AND(M192="08",N192&gt;=L_Conversion!$C$125,N192&lt;=L_Conversion!$D$125),"-",
IF(AND(M192="09",N192&gt;=L_Conversion!$C$126,N192&lt;=L_Conversion!$D$126),"-",
IF(AND(M192="10",N192&gt;=L_Conversion!$C$127,N192&lt;=L_Conversion!$D$127),"-",
IF(AND(M192="11",N192&gt;=L_Conversion!$C$128,N192&lt;=L_Conversion!$D$128),"-",
IF(AND(M192="12",N192&gt;=L_Conversion!$C$129,N192&lt;=L_Conversion!$D$129),"-",
IF(AND(M192="13",N192&gt;=L_Conversion!$C$116,N192&lt;=L_Conversion!$D$116),"-",
IF(AND(M192="14",N192&gt;=L_Conversion!$C$117,N192&lt;=L_Conversion!$D$117),"-",
"PRIMER_DIA fuera de rango")))))))))))))))</f>
        <v>-</v>
      </c>
      <c r="AS192" s="86" t="str">
        <f t="shared" si="94"/>
        <v>-</v>
      </c>
      <c r="AT192" s="86" t="str">
        <f t="shared" si="95"/>
        <v>-</v>
      </c>
      <c r="AU192" s="86" t="str">
        <f t="shared" si="96"/>
        <v>-</v>
      </c>
      <c r="AV192" s="86" t="str">
        <f t="shared" si="97"/>
        <v>-</v>
      </c>
      <c r="AW192" s="86" t="str">
        <f t="shared" si="98"/>
        <v>-</v>
      </c>
      <c r="AX192" s="86" t="str">
        <f t="shared" si="99"/>
        <v>-</v>
      </c>
      <c r="AY192" s="86" t="str">
        <f t="shared" si="100"/>
        <v>-</v>
      </c>
      <c r="AZ192" s="86" t="str">
        <f t="shared" si="101"/>
        <v>-</v>
      </c>
      <c r="BA192" s="86" t="str">
        <f t="shared" si="102"/>
        <v>-</v>
      </c>
      <c r="BB192" s="86" t="str">
        <f t="shared" si="103"/>
        <v>-</v>
      </c>
      <c r="BC192" s="86" t="str">
        <f t="shared" si="104"/>
        <v>-</v>
      </c>
      <c r="BD192" s="86" t="str">
        <f t="shared" si="105"/>
        <v>-</v>
      </c>
      <c r="BE192" s="86" t="str">
        <f t="shared" si="106"/>
        <v>-</v>
      </c>
      <c r="BF192" s="86" t="str">
        <f t="shared" si="107"/>
        <v>-</v>
      </c>
    </row>
    <row r="193" spans="1:58" x14ac:dyDescent="0.2">
      <c r="A193" s="19" t="s">
        <v>1144</v>
      </c>
      <c r="B193" s="19" t="s">
        <v>76</v>
      </c>
      <c r="C193" s="19">
        <v>15642135</v>
      </c>
      <c r="D193" s="81">
        <v>9</v>
      </c>
      <c r="E193" s="19" t="s">
        <v>1414</v>
      </c>
      <c r="F193" s="19" t="s">
        <v>1415</v>
      </c>
      <c r="G193" s="19" t="s">
        <v>1416</v>
      </c>
      <c r="H193" s="19" t="s">
        <v>1033</v>
      </c>
      <c r="I193" s="19" t="s">
        <v>664</v>
      </c>
      <c r="J193" s="19">
        <v>80</v>
      </c>
      <c r="K193" s="19" t="s">
        <v>563</v>
      </c>
      <c r="L193" s="19" t="s">
        <v>502</v>
      </c>
      <c r="M193" s="19" t="s">
        <v>21</v>
      </c>
      <c r="N193" s="19">
        <v>45706</v>
      </c>
      <c r="O193" s="19">
        <v>11</v>
      </c>
      <c r="P193" s="81">
        <v>1</v>
      </c>
      <c r="Q193" s="19" t="s">
        <v>23</v>
      </c>
      <c r="R193" s="19" t="s">
        <v>11</v>
      </c>
      <c r="S193" s="19" t="s">
        <v>23</v>
      </c>
      <c r="T193" s="19">
        <v>11</v>
      </c>
      <c r="U193" s="19" t="s">
        <v>11</v>
      </c>
      <c r="V193" s="19" t="s">
        <v>11</v>
      </c>
      <c r="W193" s="19" t="s">
        <v>19</v>
      </c>
      <c r="X193" s="19">
        <v>11726</v>
      </c>
      <c r="Y193" s="19" t="s">
        <v>735</v>
      </c>
      <c r="Z193" s="19">
        <v>11</v>
      </c>
      <c r="AA193" s="19">
        <v>11726</v>
      </c>
      <c r="AB193" s="19">
        <v>11726</v>
      </c>
      <c r="AC193" s="178" t="str">
        <f>IF(OR(M193="13",M193="14",P193=8),"",IF(AND(OR(S193="AUTORIZADO", S193="PENDIENTE", S193="REDUCIDO", S193="AMPLIADO"),L193&lt;&gt;"HONORARIO" ), CONCATENATE(IF(H193="X","H",H193),"_",IF(OR(P193=5,P193=6),_xlfn.CONCAT(P193,"A"),P193),"_",VLOOKUP(T193,Datos!$B$2:$C$5,2,TRUE)),""))</f>
        <v>M_1_[11 +]</v>
      </c>
      <c r="AD193" s="178">
        <f t="shared" si="81"/>
        <v>23452</v>
      </c>
      <c r="AE193" s="82" t="str">
        <f t="shared" si="82"/>
        <v>-</v>
      </c>
      <c r="AF193" s="83" t="str">
        <f t="shared" si="83"/>
        <v>070601</v>
      </c>
      <c r="AG193" s="84"/>
      <c r="AH193" s="85" t="str">
        <f t="shared" si="84"/>
        <v>Corporación de Fomento de la Producción</v>
      </c>
      <c r="AI193" s="82" t="str">
        <f t="shared" si="85"/>
        <v>-</v>
      </c>
      <c r="AJ193" s="82">
        <f t="shared" si="86"/>
        <v>9</v>
      </c>
      <c r="AK193" s="82" t="str">
        <f t="shared" si="87"/>
        <v>-</v>
      </c>
      <c r="AL193" s="82" t="str">
        <f t="shared" si="88"/>
        <v>Identifica este registro como MUJER</v>
      </c>
      <c r="AM193" s="82" t="str">
        <f t="shared" si="89"/>
        <v>-</v>
      </c>
      <c r="AN193" s="82" t="str">
        <f t="shared" si="90"/>
        <v>-</v>
      </c>
      <c r="AO193" s="82" t="str">
        <f t="shared" si="91"/>
        <v>-</v>
      </c>
      <c r="AP193" s="57" t="str">
        <f t="shared" si="92"/>
        <v>-</v>
      </c>
      <c r="AQ193" s="86" t="str">
        <f t="shared" si="93"/>
        <v>-</v>
      </c>
      <c r="AR193" s="86" t="str">
        <f>IF(N193="","PRIMER_DIA en blanco",
IF(AND(M193="01",N193&gt;=L_Conversion!$C$118,N193&lt;=L_Conversion!$D$118),"-",
IF(AND(M193="02",N193&gt;=L_Conversion!$C$119,N193&lt;=L_Conversion!$D$119),"-",
IF(AND(M193="03",N193&gt;=L_Conversion!$C$120,N193&lt;=L_Conversion!$D$120),"-",
IF(AND(M193="04",N193&gt;=L_Conversion!$C$121,N193&lt;=L_Conversion!$D$121),"-",
IF(AND(M193="05",N193&gt;=L_Conversion!$C$122,N193&lt;=L_Conversion!$D$122),"-",
IF(AND(M193="06",N193&gt;=L_Conversion!$C$123,N193&lt;=L_Conversion!$D$123),"-",
IF(AND(M193="07",N193&gt;=L_Conversion!$C$124,N193&lt;=L_Conversion!$D$124),"-",
IF(AND(M193="08",N193&gt;=L_Conversion!$C$125,N193&lt;=L_Conversion!$D$125),"-",
IF(AND(M193="09",N193&gt;=L_Conversion!$C$126,N193&lt;=L_Conversion!$D$126),"-",
IF(AND(M193="10",N193&gt;=L_Conversion!$C$127,N193&lt;=L_Conversion!$D$127),"-",
IF(AND(M193="11",N193&gt;=L_Conversion!$C$128,N193&lt;=L_Conversion!$D$128),"-",
IF(AND(M193="12",N193&gt;=L_Conversion!$C$129,N193&lt;=L_Conversion!$D$129),"-",
IF(AND(M193="13",N193&gt;=L_Conversion!$C$116,N193&lt;=L_Conversion!$D$116),"-",
IF(AND(M193="14",N193&gt;=L_Conversion!$C$117,N193&lt;=L_Conversion!$D$117),"-",
"PRIMER_DIA fuera de rango")))))))))))))))</f>
        <v>-</v>
      </c>
      <c r="AS193" s="86" t="str">
        <f t="shared" si="94"/>
        <v>-</v>
      </c>
      <c r="AT193" s="86" t="str">
        <f t="shared" si="95"/>
        <v>-</v>
      </c>
      <c r="AU193" s="86" t="str">
        <f t="shared" si="96"/>
        <v>-</v>
      </c>
      <c r="AV193" s="86" t="str">
        <f t="shared" si="97"/>
        <v>-</v>
      </c>
      <c r="AW193" s="86" t="str">
        <f t="shared" si="98"/>
        <v>-</v>
      </c>
      <c r="AX193" s="86" t="str">
        <f t="shared" si="99"/>
        <v>-</v>
      </c>
      <c r="AY193" s="86" t="str">
        <f t="shared" si="100"/>
        <v>-</v>
      </c>
      <c r="AZ193" s="86" t="str">
        <f t="shared" si="101"/>
        <v>-</v>
      </c>
      <c r="BA193" s="86" t="str">
        <f t="shared" si="102"/>
        <v>-</v>
      </c>
      <c r="BB193" s="86" t="str">
        <f t="shared" si="103"/>
        <v>-</v>
      </c>
      <c r="BC193" s="86" t="str">
        <f t="shared" si="104"/>
        <v>-</v>
      </c>
      <c r="BD193" s="86" t="str">
        <f t="shared" si="105"/>
        <v>-</v>
      </c>
      <c r="BE193" s="86" t="str">
        <f t="shared" si="106"/>
        <v>-</v>
      </c>
      <c r="BF193" s="86" t="str">
        <f t="shared" si="107"/>
        <v>-</v>
      </c>
    </row>
    <row r="194" spans="1:58" x14ac:dyDescent="0.2">
      <c r="A194" s="19" t="s">
        <v>1144</v>
      </c>
      <c r="B194" s="19" t="s">
        <v>76</v>
      </c>
      <c r="C194" s="19">
        <v>18925452</v>
      </c>
      <c r="D194" s="81">
        <v>0</v>
      </c>
      <c r="E194" s="19" t="s">
        <v>1187</v>
      </c>
      <c r="F194" s="19" t="s">
        <v>1205</v>
      </c>
      <c r="G194" s="19" t="s">
        <v>1499</v>
      </c>
      <c r="H194" s="19" t="s">
        <v>663</v>
      </c>
      <c r="I194" s="19" t="s">
        <v>662</v>
      </c>
      <c r="J194" s="19">
        <v>80</v>
      </c>
      <c r="K194" s="19" t="s">
        <v>563</v>
      </c>
      <c r="L194" s="19" t="s">
        <v>502</v>
      </c>
      <c r="M194" s="19" t="s">
        <v>21</v>
      </c>
      <c r="N194" s="19">
        <v>45706</v>
      </c>
      <c r="O194" s="19">
        <v>2</v>
      </c>
      <c r="P194" s="81">
        <v>1</v>
      </c>
      <c r="Q194" s="19" t="s">
        <v>23</v>
      </c>
      <c r="R194" s="19" t="s">
        <v>11</v>
      </c>
      <c r="S194" s="19" t="s">
        <v>23</v>
      </c>
      <c r="T194" s="19">
        <v>2</v>
      </c>
      <c r="U194" s="19" t="s">
        <v>11</v>
      </c>
      <c r="V194" s="19" t="s">
        <v>19</v>
      </c>
      <c r="W194" s="19" t="s">
        <v>19</v>
      </c>
      <c r="X194" s="19">
        <v>31256</v>
      </c>
      <c r="Y194" s="19" t="s">
        <v>735</v>
      </c>
      <c r="Z194" s="19">
        <v>2</v>
      </c>
      <c r="AA194" s="19">
        <v>31256</v>
      </c>
      <c r="AB194" s="19">
        <v>31256</v>
      </c>
      <c r="AC194" s="178" t="str">
        <f>IF(OR(M194="13",M194="14",P194=8),"",IF(AND(OR(S194="AUTORIZADO", S194="PENDIENTE", S194="REDUCIDO", S194="AMPLIADO"),L194&lt;&gt;"HONORARIO" ), CONCATENATE(IF(H194="X","H",H194),"_",IF(OR(P194=5,P194=6),_xlfn.CONCAT(P194,"A"),P194),"_",VLOOKUP(T194,Datos!$B$2:$C$5,2,TRUE)),""))</f>
        <v>H_1_[hasta 3]</v>
      </c>
      <c r="AD194" s="178">
        <f t="shared" si="81"/>
        <v>62512</v>
      </c>
      <c r="AE194" s="82" t="str">
        <f t="shared" si="82"/>
        <v>-</v>
      </c>
      <c r="AF194" s="83" t="str">
        <f t="shared" si="83"/>
        <v>070601</v>
      </c>
      <c r="AG194" s="84"/>
      <c r="AH194" s="85" t="str">
        <f t="shared" si="84"/>
        <v>Corporación de Fomento de la Producción</v>
      </c>
      <c r="AI194" s="82" t="str">
        <f t="shared" si="85"/>
        <v>-</v>
      </c>
      <c r="AJ194" s="82">
        <f t="shared" si="86"/>
        <v>0</v>
      </c>
      <c r="AK194" s="82" t="str">
        <f t="shared" si="87"/>
        <v>-</v>
      </c>
      <c r="AL194" s="82" t="str">
        <f t="shared" si="88"/>
        <v>Identifica este registro como HOMBRE</v>
      </c>
      <c r="AM194" s="82" t="str">
        <f t="shared" si="89"/>
        <v>-</v>
      </c>
      <c r="AN194" s="82" t="str">
        <f t="shared" si="90"/>
        <v>-</v>
      </c>
      <c r="AO194" s="82" t="str">
        <f t="shared" si="91"/>
        <v>-</v>
      </c>
      <c r="AP194" s="57" t="str">
        <f t="shared" si="92"/>
        <v>-</v>
      </c>
      <c r="AQ194" s="86" t="str">
        <f t="shared" si="93"/>
        <v>-</v>
      </c>
      <c r="AR194" s="86" t="str">
        <f>IF(N194="","PRIMER_DIA en blanco",
IF(AND(M194="01",N194&gt;=L_Conversion!$C$118,N194&lt;=L_Conversion!$D$118),"-",
IF(AND(M194="02",N194&gt;=L_Conversion!$C$119,N194&lt;=L_Conversion!$D$119),"-",
IF(AND(M194="03",N194&gt;=L_Conversion!$C$120,N194&lt;=L_Conversion!$D$120),"-",
IF(AND(M194="04",N194&gt;=L_Conversion!$C$121,N194&lt;=L_Conversion!$D$121),"-",
IF(AND(M194="05",N194&gt;=L_Conversion!$C$122,N194&lt;=L_Conversion!$D$122),"-",
IF(AND(M194="06",N194&gt;=L_Conversion!$C$123,N194&lt;=L_Conversion!$D$123),"-",
IF(AND(M194="07",N194&gt;=L_Conversion!$C$124,N194&lt;=L_Conversion!$D$124),"-",
IF(AND(M194="08",N194&gt;=L_Conversion!$C$125,N194&lt;=L_Conversion!$D$125),"-",
IF(AND(M194="09",N194&gt;=L_Conversion!$C$126,N194&lt;=L_Conversion!$D$126),"-",
IF(AND(M194="10",N194&gt;=L_Conversion!$C$127,N194&lt;=L_Conversion!$D$127),"-",
IF(AND(M194="11",N194&gt;=L_Conversion!$C$128,N194&lt;=L_Conversion!$D$128),"-",
IF(AND(M194="12",N194&gt;=L_Conversion!$C$129,N194&lt;=L_Conversion!$D$129),"-",
IF(AND(M194="13",N194&gt;=L_Conversion!$C$116,N194&lt;=L_Conversion!$D$116),"-",
IF(AND(M194="14",N194&gt;=L_Conversion!$C$117,N194&lt;=L_Conversion!$D$117),"-",
"PRIMER_DIA fuera de rango")))))))))))))))</f>
        <v>-</v>
      </c>
      <c r="AS194" s="86" t="str">
        <f t="shared" si="94"/>
        <v>-</v>
      </c>
      <c r="AT194" s="86" t="str">
        <f t="shared" si="95"/>
        <v>-</v>
      </c>
      <c r="AU194" s="86" t="str">
        <f t="shared" si="96"/>
        <v>-</v>
      </c>
      <c r="AV194" s="86" t="str">
        <f t="shared" si="97"/>
        <v>-</v>
      </c>
      <c r="AW194" s="86" t="str">
        <f t="shared" si="98"/>
        <v>-</v>
      </c>
      <c r="AX194" s="86" t="str">
        <f t="shared" si="99"/>
        <v>-</v>
      </c>
      <c r="AY194" s="86" t="str">
        <f t="shared" si="100"/>
        <v>-</v>
      </c>
      <c r="AZ194" s="86" t="str">
        <f t="shared" si="101"/>
        <v>-</v>
      </c>
      <c r="BA194" s="86" t="str">
        <f t="shared" si="102"/>
        <v>-</v>
      </c>
      <c r="BB194" s="86" t="str">
        <f t="shared" si="103"/>
        <v>-</v>
      </c>
      <c r="BC194" s="86" t="str">
        <f t="shared" si="104"/>
        <v>-</v>
      </c>
      <c r="BD194" s="86" t="str">
        <f t="shared" si="105"/>
        <v>-</v>
      </c>
      <c r="BE194" s="86" t="str">
        <f t="shared" si="106"/>
        <v>-</v>
      </c>
      <c r="BF194" s="86" t="str">
        <f t="shared" si="107"/>
        <v>-</v>
      </c>
    </row>
    <row r="195" spans="1:58" x14ac:dyDescent="0.2">
      <c r="A195" s="19" t="s">
        <v>1144</v>
      </c>
      <c r="B195" s="19" t="s">
        <v>76</v>
      </c>
      <c r="C195" s="19">
        <v>15019933</v>
      </c>
      <c r="D195" s="81">
        <v>6</v>
      </c>
      <c r="E195" s="19" t="s">
        <v>1500</v>
      </c>
      <c r="F195" s="19" t="s">
        <v>1173</v>
      </c>
      <c r="G195" s="19" t="s">
        <v>1501</v>
      </c>
      <c r="H195" s="19" t="s">
        <v>1033</v>
      </c>
      <c r="I195" s="19" t="s">
        <v>662</v>
      </c>
      <c r="J195" s="19">
        <v>80</v>
      </c>
      <c r="K195" s="19" t="s">
        <v>563</v>
      </c>
      <c r="L195" s="19" t="s">
        <v>502</v>
      </c>
      <c r="M195" s="19" t="s">
        <v>21</v>
      </c>
      <c r="N195" s="19">
        <v>45707</v>
      </c>
      <c r="O195" s="19">
        <v>30</v>
      </c>
      <c r="P195" s="81">
        <v>1</v>
      </c>
      <c r="Q195" s="19" t="s">
        <v>23</v>
      </c>
      <c r="R195" s="19" t="s">
        <v>11</v>
      </c>
      <c r="S195" s="19" t="s">
        <v>23</v>
      </c>
      <c r="T195" s="19">
        <v>30</v>
      </c>
      <c r="U195" s="19" t="s">
        <v>11</v>
      </c>
      <c r="V195" s="19" t="s">
        <v>11</v>
      </c>
      <c r="W195" s="19" t="s">
        <v>19</v>
      </c>
      <c r="X195" s="19">
        <v>3192196</v>
      </c>
      <c r="Y195" s="19" t="s">
        <v>735</v>
      </c>
      <c r="Z195" s="19">
        <v>30</v>
      </c>
      <c r="AA195" s="19">
        <v>3192196</v>
      </c>
      <c r="AB195" s="19">
        <v>3192196</v>
      </c>
      <c r="AC195" s="178" t="str">
        <f>IF(OR(M195="13",M195="14",P195=8),"",IF(AND(OR(S195="AUTORIZADO", S195="PENDIENTE", S195="REDUCIDO", S195="AMPLIADO"),L195&lt;&gt;"HONORARIO" ), CONCATENATE(IF(H195="X","H",H195),"_",IF(OR(P195=5,P195=6),_xlfn.CONCAT(P195,"A"),P195),"_",VLOOKUP(T195,Datos!$B$2:$C$5,2,TRUE)),""))</f>
        <v>M_1_[11 +]</v>
      </c>
      <c r="AD195" s="178">
        <f t="shared" si="81"/>
        <v>6384392</v>
      </c>
      <c r="AE195" s="82" t="str">
        <f t="shared" si="82"/>
        <v>-</v>
      </c>
      <c r="AF195" s="83" t="str">
        <f t="shared" si="83"/>
        <v>070601</v>
      </c>
      <c r="AG195" s="84"/>
      <c r="AH195" s="85" t="str">
        <f t="shared" si="84"/>
        <v>Corporación de Fomento de la Producción</v>
      </c>
      <c r="AI195" s="82" t="str">
        <f t="shared" si="85"/>
        <v>-</v>
      </c>
      <c r="AJ195" s="82">
        <f t="shared" si="86"/>
        <v>6</v>
      </c>
      <c r="AK195" s="82" t="str">
        <f t="shared" si="87"/>
        <v>-</v>
      </c>
      <c r="AL195" s="82" t="str">
        <f t="shared" si="88"/>
        <v>Identifica este registro como MUJER</v>
      </c>
      <c r="AM195" s="82" t="str">
        <f t="shared" si="89"/>
        <v>-</v>
      </c>
      <c r="AN195" s="82" t="str">
        <f t="shared" si="90"/>
        <v>-</v>
      </c>
      <c r="AO195" s="82" t="str">
        <f t="shared" si="91"/>
        <v>-</v>
      </c>
      <c r="AP195" s="57" t="str">
        <f t="shared" si="92"/>
        <v>-</v>
      </c>
      <c r="AQ195" s="86" t="str">
        <f t="shared" si="93"/>
        <v>-</v>
      </c>
      <c r="AR195" s="86" t="str">
        <f>IF(N195="","PRIMER_DIA en blanco",
IF(AND(M195="01",N195&gt;=L_Conversion!$C$118,N195&lt;=L_Conversion!$D$118),"-",
IF(AND(M195="02",N195&gt;=L_Conversion!$C$119,N195&lt;=L_Conversion!$D$119),"-",
IF(AND(M195="03",N195&gt;=L_Conversion!$C$120,N195&lt;=L_Conversion!$D$120),"-",
IF(AND(M195="04",N195&gt;=L_Conversion!$C$121,N195&lt;=L_Conversion!$D$121),"-",
IF(AND(M195="05",N195&gt;=L_Conversion!$C$122,N195&lt;=L_Conversion!$D$122),"-",
IF(AND(M195="06",N195&gt;=L_Conversion!$C$123,N195&lt;=L_Conversion!$D$123),"-",
IF(AND(M195="07",N195&gt;=L_Conversion!$C$124,N195&lt;=L_Conversion!$D$124),"-",
IF(AND(M195="08",N195&gt;=L_Conversion!$C$125,N195&lt;=L_Conversion!$D$125),"-",
IF(AND(M195="09",N195&gt;=L_Conversion!$C$126,N195&lt;=L_Conversion!$D$126),"-",
IF(AND(M195="10",N195&gt;=L_Conversion!$C$127,N195&lt;=L_Conversion!$D$127),"-",
IF(AND(M195="11",N195&gt;=L_Conversion!$C$128,N195&lt;=L_Conversion!$D$128),"-",
IF(AND(M195="12",N195&gt;=L_Conversion!$C$129,N195&lt;=L_Conversion!$D$129),"-",
IF(AND(M195="13",N195&gt;=L_Conversion!$C$116,N195&lt;=L_Conversion!$D$116),"-",
IF(AND(M195="14",N195&gt;=L_Conversion!$C$117,N195&lt;=L_Conversion!$D$117),"-",
"PRIMER_DIA fuera de rango")))))))))))))))</f>
        <v>-</v>
      </c>
      <c r="AS195" s="86" t="str">
        <f t="shared" si="94"/>
        <v>-</v>
      </c>
      <c r="AT195" s="86" t="str">
        <f t="shared" si="95"/>
        <v>-</v>
      </c>
      <c r="AU195" s="86" t="str">
        <f t="shared" si="96"/>
        <v>-</v>
      </c>
      <c r="AV195" s="86" t="str">
        <f t="shared" si="97"/>
        <v>-</v>
      </c>
      <c r="AW195" s="86" t="str">
        <f t="shared" si="98"/>
        <v>-</v>
      </c>
      <c r="AX195" s="86" t="str">
        <f t="shared" si="99"/>
        <v>-</v>
      </c>
      <c r="AY195" s="86" t="str">
        <f t="shared" si="100"/>
        <v>-</v>
      </c>
      <c r="AZ195" s="86" t="str">
        <f t="shared" si="101"/>
        <v>-</v>
      </c>
      <c r="BA195" s="86" t="str">
        <f t="shared" si="102"/>
        <v>-</v>
      </c>
      <c r="BB195" s="86" t="str">
        <f t="shared" si="103"/>
        <v>-</v>
      </c>
      <c r="BC195" s="86" t="str">
        <f t="shared" si="104"/>
        <v>-</v>
      </c>
      <c r="BD195" s="86" t="str">
        <f t="shared" si="105"/>
        <v>-</v>
      </c>
      <c r="BE195" s="86" t="str">
        <f t="shared" si="106"/>
        <v>-</v>
      </c>
      <c r="BF195" s="86" t="str">
        <f t="shared" si="107"/>
        <v>-</v>
      </c>
    </row>
    <row r="196" spans="1:58" x14ac:dyDescent="0.2">
      <c r="A196" s="19" t="s">
        <v>1144</v>
      </c>
      <c r="B196" s="19" t="s">
        <v>76</v>
      </c>
      <c r="C196" s="19">
        <v>15603921</v>
      </c>
      <c r="D196" s="81">
        <v>7</v>
      </c>
      <c r="E196" s="19" t="s">
        <v>1170</v>
      </c>
      <c r="F196" s="19" t="s">
        <v>1355</v>
      </c>
      <c r="G196" s="19" t="s">
        <v>1356</v>
      </c>
      <c r="H196" s="19" t="s">
        <v>1033</v>
      </c>
      <c r="I196" s="19" t="s">
        <v>662</v>
      </c>
      <c r="J196" s="19">
        <v>80</v>
      </c>
      <c r="K196" s="19" t="s">
        <v>563</v>
      </c>
      <c r="L196" s="19" t="s">
        <v>502</v>
      </c>
      <c r="M196" s="19" t="s">
        <v>21</v>
      </c>
      <c r="N196" s="19">
        <v>45707</v>
      </c>
      <c r="O196" s="19">
        <v>10</v>
      </c>
      <c r="P196" s="81">
        <v>1</v>
      </c>
      <c r="Q196" s="19" t="s">
        <v>23</v>
      </c>
      <c r="R196" s="19" t="s">
        <v>11</v>
      </c>
      <c r="S196" s="19" t="s">
        <v>23</v>
      </c>
      <c r="T196" s="19">
        <v>10</v>
      </c>
      <c r="U196" s="19" t="s">
        <v>11</v>
      </c>
      <c r="V196" s="19" t="s">
        <v>11</v>
      </c>
      <c r="W196" s="19" t="s">
        <v>19</v>
      </c>
      <c r="X196" s="19">
        <v>806825</v>
      </c>
      <c r="Y196" s="19" t="s">
        <v>735</v>
      </c>
      <c r="Z196" s="19">
        <v>10</v>
      </c>
      <c r="AA196" s="19">
        <v>806825</v>
      </c>
      <c r="AB196" s="19">
        <v>806825</v>
      </c>
      <c r="AC196" s="178" t="str">
        <f>IF(OR(M196="13",M196="14",P196=8),"",IF(AND(OR(S196="AUTORIZADO", S196="PENDIENTE", S196="REDUCIDO", S196="AMPLIADO"),L196&lt;&gt;"HONORARIO" ), CONCATENATE(IF(H196="X","H",H196),"_",IF(OR(P196=5,P196=6),_xlfn.CONCAT(P196,"A"),P196),"_",VLOOKUP(T196,Datos!$B$2:$C$5,2,TRUE)),""))</f>
        <v>M_1_[4 a 10]</v>
      </c>
      <c r="AD196" s="178">
        <f t="shared" si="81"/>
        <v>1613650</v>
      </c>
      <c r="AE196" s="82" t="str">
        <f t="shared" si="82"/>
        <v>-</v>
      </c>
      <c r="AF196" s="83" t="str">
        <f t="shared" si="83"/>
        <v>070601</v>
      </c>
      <c r="AG196" s="84"/>
      <c r="AH196" s="85" t="str">
        <f t="shared" si="84"/>
        <v>Corporación de Fomento de la Producción</v>
      </c>
      <c r="AI196" s="82" t="str">
        <f t="shared" si="85"/>
        <v>-</v>
      </c>
      <c r="AJ196" s="82">
        <f t="shared" si="86"/>
        <v>7</v>
      </c>
      <c r="AK196" s="82" t="str">
        <f t="shared" si="87"/>
        <v>-</v>
      </c>
      <c r="AL196" s="82" t="str">
        <f t="shared" si="88"/>
        <v>Identifica este registro como MUJER</v>
      </c>
      <c r="AM196" s="82" t="str">
        <f t="shared" si="89"/>
        <v>-</v>
      </c>
      <c r="AN196" s="82" t="str">
        <f t="shared" si="90"/>
        <v>-</v>
      </c>
      <c r="AO196" s="82" t="str">
        <f t="shared" si="91"/>
        <v>-</v>
      </c>
      <c r="AP196" s="57" t="str">
        <f t="shared" si="92"/>
        <v>-</v>
      </c>
      <c r="AQ196" s="86" t="str">
        <f t="shared" si="93"/>
        <v>-</v>
      </c>
      <c r="AR196" s="86" t="str">
        <f>IF(N196="","PRIMER_DIA en blanco",
IF(AND(M196="01",N196&gt;=L_Conversion!$C$118,N196&lt;=L_Conversion!$D$118),"-",
IF(AND(M196="02",N196&gt;=L_Conversion!$C$119,N196&lt;=L_Conversion!$D$119),"-",
IF(AND(M196="03",N196&gt;=L_Conversion!$C$120,N196&lt;=L_Conversion!$D$120),"-",
IF(AND(M196="04",N196&gt;=L_Conversion!$C$121,N196&lt;=L_Conversion!$D$121),"-",
IF(AND(M196="05",N196&gt;=L_Conversion!$C$122,N196&lt;=L_Conversion!$D$122),"-",
IF(AND(M196="06",N196&gt;=L_Conversion!$C$123,N196&lt;=L_Conversion!$D$123),"-",
IF(AND(M196="07",N196&gt;=L_Conversion!$C$124,N196&lt;=L_Conversion!$D$124),"-",
IF(AND(M196="08",N196&gt;=L_Conversion!$C$125,N196&lt;=L_Conversion!$D$125),"-",
IF(AND(M196="09",N196&gt;=L_Conversion!$C$126,N196&lt;=L_Conversion!$D$126),"-",
IF(AND(M196="10",N196&gt;=L_Conversion!$C$127,N196&lt;=L_Conversion!$D$127),"-",
IF(AND(M196="11",N196&gt;=L_Conversion!$C$128,N196&lt;=L_Conversion!$D$128),"-",
IF(AND(M196="12",N196&gt;=L_Conversion!$C$129,N196&lt;=L_Conversion!$D$129),"-",
IF(AND(M196="13",N196&gt;=L_Conversion!$C$116,N196&lt;=L_Conversion!$D$116),"-",
IF(AND(M196="14",N196&gt;=L_Conversion!$C$117,N196&lt;=L_Conversion!$D$117),"-",
"PRIMER_DIA fuera de rango")))))))))))))))</f>
        <v>-</v>
      </c>
      <c r="AS196" s="86" t="str">
        <f t="shared" si="94"/>
        <v>-</v>
      </c>
      <c r="AT196" s="86" t="str">
        <f t="shared" si="95"/>
        <v>-</v>
      </c>
      <c r="AU196" s="86" t="str">
        <f t="shared" si="96"/>
        <v>-</v>
      </c>
      <c r="AV196" s="86" t="str">
        <f t="shared" si="97"/>
        <v>-</v>
      </c>
      <c r="AW196" s="86" t="str">
        <f t="shared" si="98"/>
        <v>-</v>
      </c>
      <c r="AX196" s="86" t="str">
        <f t="shared" si="99"/>
        <v>-</v>
      </c>
      <c r="AY196" s="86" t="str">
        <f t="shared" si="100"/>
        <v>-</v>
      </c>
      <c r="AZ196" s="86" t="str">
        <f t="shared" si="101"/>
        <v>-</v>
      </c>
      <c r="BA196" s="86" t="str">
        <f t="shared" si="102"/>
        <v>-</v>
      </c>
      <c r="BB196" s="86" t="str">
        <f t="shared" si="103"/>
        <v>-</v>
      </c>
      <c r="BC196" s="86" t="str">
        <f t="shared" si="104"/>
        <v>-</v>
      </c>
      <c r="BD196" s="86" t="str">
        <f t="shared" si="105"/>
        <v>-</v>
      </c>
      <c r="BE196" s="86" t="str">
        <f t="shared" si="106"/>
        <v>-</v>
      </c>
      <c r="BF196" s="86" t="str">
        <f t="shared" si="107"/>
        <v>-</v>
      </c>
    </row>
    <row r="197" spans="1:58" x14ac:dyDescent="0.2">
      <c r="A197" s="19" t="s">
        <v>1144</v>
      </c>
      <c r="B197" s="19" t="s">
        <v>76</v>
      </c>
      <c r="C197" s="19">
        <v>13545055</v>
      </c>
      <c r="D197" s="81">
        <v>3</v>
      </c>
      <c r="E197" s="19" t="s">
        <v>1406</v>
      </c>
      <c r="F197" s="19" t="s">
        <v>1407</v>
      </c>
      <c r="G197" s="19" t="s">
        <v>1408</v>
      </c>
      <c r="H197" s="19" t="s">
        <v>1033</v>
      </c>
      <c r="I197" s="19" t="s">
        <v>662</v>
      </c>
      <c r="J197" s="19">
        <v>80</v>
      </c>
      <c r="K197" s="19" t="s">
        <v>561</v>
      </c>
      <c r="L197" s="19" t="s">
        <v>502</v>
      </c>
      <c r="M197" s="19" t="s">
        <v>21</v>
      </c>
      <c r="N197" s="19">
        <v>45707</v>
      </c>
      <c r="O197" s="19">
        <v>15</v>
      </c>
      <c r="P197" s="81">
        <v>1</v>
      </c>
      <c r="Q197" s="19" t="s">
        <v>23</v>
      </c>
      <c r="R197" s="19" t="s">
        <v>11</v>
      </c>
      <c r="S197" s="19" t="s">
        <v>23</v>
      </c>
      <c r="T197" s="19">
        <v>15</v>
      </c>
      <c r="U197" s="19" t="s">
        <v>11</v>
      </c>
      <c r="V197" s="19" t="s">
        <v>11</v>
      </c>
      <c r="W197" s="19" t="s">
        <v>19</v>
      </c>
      <c r="X197" s="19">
        <v>1602185</v>
      </c>
      <c r="Y197" s="19" t="s">
        <v>735</v>
      </c>
      <c r="Z197" s="19">
        <v>15</v>
      </c>
      <c r="AA197" s="19">
        <v>1602185</v>
      </c>
      <c r="AB197" s="19">
        <v>1602185</v>
      </c>
      <c r="AC197" s="178" t="str">
        <f>IF(OR(M197="13",M197="14",P197=8),"",IF(AND(OR(S197="AUTORIZADO", S197="PENDIENTE", S197="REDUCIDO", S197="AMPLIADO"),L197&lt;&gt;"HONORARIO" ), CONCATENATE(IF(H197="X","H",H197),"_",IF(OR(P197=5,P197=6),_xlfn.CONCAT(P197,"A"),P197),"_",VLOOKUP(T197,Datos!$B$2:$C$5,2,TRUE)),""))</f>
        <v>M_1_[11 +]</v>
      </c>
      <c r="AD197" s="178">
        <f t="shared" si="81"/>
        <v>3204370</v>
      </c>
      <c r="AE197" s="82" t="str">
        <f t="shared" si="82"/>
        <v>-</v>
      </c>
      <c r="AF197" s="83" t="str">
        <f t="shared" si="83"/>
        <v>070601</v>
      </c>
      <c r="AG197" s="84"/>
      <c r="AH197" s="85" t="str">
        <f t="shared" si="84"/>
        <v>Corporación de Fomento de la Producción</v>
      </c>
      <c r="AI197" s="82" t="str">
        <f t="shared" si="85"/>
        <v>-</v>
      </c>
      <c r="AJ197" s="82">
        <f t="shared" si="86"/>
        <v>3</v>
      </c>
      <c r="AK197" s="82" t="str">
        <f t="shared" si="87"/>
        <v>-</v>
      </c>
      <c r="AL197" s="82" t="str">
        <f t="shared" si="88"/>
        <v>Identifica este registro como MUJER</v>
      </c>
      <c r="AM197" s="82" t="str">
        <f t="shared" si="89"/>
        <v>-</v>
      </c>
      <c r="AN197" s="82" t="str">
        <f t="shared" si="90"/>
        <v>-</v>
      </c>
      <c r="AO197" s="82" t="str">
        <f t="shared" si="91"/>
        <v>-</v>
      </c>
      <c r="AP197" s="57" t="str">
        <f t="shared" si="92"/>
        <v>-</v>
      </c>
      <c r="AQ197" s="86" t="str">
        <f t="shared" si="93"/>
        <v>-</v>
      </c>
      <c r="AR197" s="86" t="str">
        <f>IF(N197="","PRIMER_DIA en blanco",
IF(AND(M197="01",N197&gt;=L_Conversion!$C$118,N197&lt;=L_Conversion!$D$118),"-",
IF(AND(M197="02",N197&gt;=L_Conversion!$C$119,N197&lt;=L_Conversion!$D$119),"-",
IF(AND(M197="03",N197&gt;=L_Conversion!$C$120,N197&lt;=L_Conversion!$D$120),"-",
IF(AND(M197="04",N197&gt;=L_Conversion!$C$121,N197&lt;=L_Conversion!$D$121),"-",
IF(AND(M197="05",N197&gt;=L_Conversion!$C$122,N197&lt;=L_Conversion!$D$122),"-",
IF(AND(M197="06",N197&gt;=L_Conversion!$C$123,N197&lt;=L_Conversion!$D$123),"-",
IF(AND(M197="07",N197&gt;=L_Conversion!$C$124,N197&lt;=L_Conversion!$D$124),"-",
IF(AND(M197="08",N197&gt;=L_Conversion!$C$125,N197&lt;=L_Conversion!$D$125),"-",
IF(AND(M197="09",N197&gt;=L_Conversion!$C$126,N197&lt;=L_Conversion!$D$126),"-",
IF(AND(M197="10",N197&gt;=L_Conversion!$C$127,N197&lt;=L_Conversion!$D$127),"-",
IF(AND(M197="11",N197&gt;=L_Conversion!$C$128,N197&lt;=L_Conversion!$D$128),"-",
IF(AND(M197="12",N197&gt;=L_Conversion!$C$129,N197&lt;=L_Conversion!$D$129),"-",
IF(AND(M197="13",N197&gt;=L_Conversion!$C$116,N197&lt;=L_Conversion!$D$116),"-",
IF(AND(M197="14",N197&gt;=L_Conversion!$C$117,N197&lt;=L_Conversion!$D$117),"-",
"PRIMER_DIA fuera de rango")))))))))))))))</f>
        <v>-</v>
      </c>
      <c r="AS197" s="86" t="str">
        <f t="shared" si="94"/>
        <v>-</v>
      </c>
      <c r="AT197" s="86" t="str">
        <f t="shared" si="95"/>
        <v>-</v>
      </c>
      <c r="AU197" s="86" t="str">
        <f t="shared" si="96"/>
        <v>-</v>
      </c>
      <c r="AV197" s="86" t="str">
        <f t="shared" si="97"/>
        <v>-</v>
      </c>
      <c r="AW197" s="86" t="str">
        <f t="shared" si="98"/>
        <v>-</v>
      </c>
      <c r="AX197" s="86" t="str">
        <f t="shared" si="99"/>
        <v>-</v>
      </c>
      <c r="AY197" s="86" t="str">
        <f t="shared" si="100"/>
        <v>-</v>
      </c>
      <c r="AZ197" s="86" t="str">
        <f t="shared" si="101"/>
        <v>-</v>
      </c>
      <c r="BA197" s="86" t="str">
        <f t="shared" si="102"/>
        <v>-</v>
      </c>
      <c r="BB197" s="86" t="str">
        <f t="shared" si="103"/>
        <v>-</v>
      </c>
      <c r="BC197" s="86" t="str">
        <f t="shared" si="104"/>
        <v>-</v>
      </c>
      <c r="BD197" s="86" t="str">
        <f t="shared" si="105"/>
        <v>-</v>
      </c>
      <c r="BE197" s="86" t="str">
        <f t="shared" si="106"/>
        <v>-</v>
      </c>
      <c r="BF197" s="86" t="str">
        <f t="shared" si="107"/>
        <v>-</v>
      </c>
    </row>
    <row r="198" spans="1:58" x14ac:dyDescent="0.2">
      <c r="A198" s="19" t="s">
        <v>1144</v>
      </c>
      <c r="B198" s="19" t="s">
        <v>76</v>
      </c>
      <c r="C198" s="19">
        <v>8649147</v>
      </c>
      <c r="D198" s="81">
        <v>8</v>
      </c>
      <c r="E198" s="19" t="s">
        <v>1357</v>
      </c>
      <c r="F198" s="19" t="s">
        <v>1502</v>
      </c>
      <c r="G198" s="19" t="s">
        <v>1503</v>
      </c>
      <c r="H198" s="19" t="s">
        <v>1033</v>
      </c>
      <c r="I198" s="19" t="s">
        <v>662</v>
      </c>
      <c r="J198" s="19">
        <v>60</v>
      </c>
      <c r="K198" s="19" t="s">
        <v>567</v>
      </c>
      <c r="L198" s="19" t="s">
        <v>497</v>
      </c>
      <c r="M198" s="19" t="s">
        <v>21</v>
      </c>
      <c r="N198" s="19">
        <v>45707</v>
      </c>
      <c r="O198" s="19">
        <v>2</v>
      </c>
      <c r="P198" s="81">
        <v>1</v>
      </c>
      <c r="Q198" s="19" t="s">
        <v>23</v>
      </c>
      <c r="R198" s="19" t="s">
        <v>11</v>
      </c>
      <c r="S198" s="19" t="s">
        <v>23</v>
      </c>
      <c r="T198" s="19">
        <v>2</v>
      </c>
      <c r="U198" s="19" t="s">
        <v>11</v>
      </c>
      <c r="V198" s="19" t="s">
        <v>19</v>
      </c>
      <c r="W198" s="19" t="s">
        <v>19</v>
      </c>
      <c r="X198" s="19">
        <v>30480</v>
      </c>
      <c r="Y198" s="19" t="s">
        <v>735</v>
      </c>
      <c r="Z198" s="19">
        <v>2</v>
      </c>
      <c r="AA198" s="19">
        <v>30480</v>
      </c>
      <c r="AB198" s="19">
        <v>30480</v>
      </c>
      <c r="AC198" s="178" t="str">
        <f>IF(OR(M198="13",M198="14",P198=8),"",IF(AND(OR(S198="AUTORIZADO", S198="PENDIENTE", S198="REDUCIDO", S198="AMPLIADO"),L198&lt;&gt;"HONORARIO" ), CONCATENATE(IF(H198="X","H",H198),"_",IF(OR(P198=5,P198=6),_xlfn.CONCAT(P198,"A"),P198),"_",VLOOKUP(T198,Datos!$B$2:$C$5,2,TRUE)),""))</f>
        <v>M_1_[hasta 3]</v>
      </c>
      <c r="AD198" s="178">
        <f t="shared" si="81"/>
        <v>60960</v>
      </c>
      <c r="AE198" s="82" t="str">
        <f t="shared" si="82"/>
        <v>-</v>
      </c>
      <c r="AF198" s="83" t="str">
        <f t="shared" si="83"/>
        <v>070601</v>
      </c>
      <c r="AG198" s="84"/>
      <c r="AH198" s="85" t="str">
        <f t="shared" si="84"/>
        <v>Corporación de Fomento de la Producción</v>
      </c>
      <c r="AI198" s="82" t="str">
        <f t="shared" si="85"/>
        <v>-</v>
      </c>
      <c r="AJ198" s="82">
        <f t="shared" si="86"/>
        <v>8</v>
      </c>
      <c r="AK198" s="82" t="str">
        <f t="shared" si="87"/>
        <v>-</v>
      </c>
      <c r="AL198" s="82" t="str">
        <f t="shared" si="88"/>
        <v>Identifica este registro como MUJER</v>
      </c>
      <c r="AM198" s="82" t="str">
        <f t="shared" si="89"/>
        <v>-</v>
      </c>
      <c r="AN198" s="82" t="str">
        <f t="shared" si="90"/>
        <v>-</v>
      </c>
      <c r="AO198" s="82" t="str">
        <f t="shared" si="91"/>
        <v>-</v>
      </c>
      <c r="AP198" s="57" t="str">
        <f t="shared" si="92"/>
        <v>-</v>
      </c>
      <c r="AQ198" s="86" t="str">
        <f t="shared" si="93"/>
        <v>-</v>
      </c>
      <c r="AR198" s="86" t="str">
        <f>IF(N198="","PRIMER_DIA en blanco",
IF(AND(M198="01",N198&gt;=L_Conversion!$C$118,N198&lt;=L_Conversion!$D$118),"-",
IF(AND(M198="02",N198&gt;=L_Conversion!$C$119,N198&lt;=L_Conversion!$D$119),"-",
IF(AND(M198="03",N198&gt;=L_Conversion!$C$120,N198&lt;=L_Conversion!$D$120),"-",
IF(AND(M198="04",N198&gt;=L_Conversion!$C$121,N198&lt;=L_Conversion!$D$121),"-",
IF(AND(M198="05",N198&gt;=L_Conversion!$C$122,N198&lt;=L_Conversion!$D$122),"-",
IF(AND(M198="06",N198&gt;=L_Conversion!$C$123,N198&lt;=L_Conversion!$D$123),"-",
IF(AND(M198="07",N198&gt;=L_Conversion!$C$124,N198&lt;=L_Conversion!$D$124),"-",
IF(AND(M198="08",N198&gt;=L_Conversion!$C$125,N198&lt;=L_Conversion!$D$125),"-",
IF(AND(M198="09",N198&gt;=L_Conversion!$C$126,N198&lt;=L_Conversion!$D$126),"-",
IF(AND(M198="10",N198&gt;=L_Conversion!$C$127,N198&lt;=L_Conversion!$D$127),"-",
IF(AND(M198="11",N198&gt;=L_Conversion!$C$128,N198&lt;=L_Conversion!$D$128),"-",
IF(AND(M198="12",N198&gt;=L_Conversion!$C$129,N198&lt;=L_Conversion!$D$129),"-",
IF(AND(M198="13",N198&gt;=L_Conversion!$C$116,N198&lt;=L_Conversion!$D$116),"-",
IF(AND(M198="14",N198&gt;=L_Conversion!$C$117,N198&lt;=L_Conversion!$D$117),"-",
"PRIMER_DIA fuera de rango")))))))))))))))</f>
        <v>-</v>
      </c>
      <c r="AS198" s="86" t="str">
        <f t="shared" si="94"/>
        <v>-</v>
      </c>
      <c r="AT198" s="86" t="str">
        <f t="shared" si="95"/>
        <v>-</v>
      </c>
      <c r="AU198" s="86" t="str">
        <f t="shared" si="96"/>
        <v>-</v>
      </c>
      <c r="AV198" s="86" t="str">
        <f t="shared" si="97"/>
        <v>-</v>
      </c>
      <c r="AW198" s="86" t="str">
        <f t="shared" si="98"/>
        <v>-</v>
      </c>
      <c r="AX198" s="86" t="str">
        <f t="shared" si="99"/>
        <v>-</v>
      </c>
      <c r="AY198" s="86" t="str">
        <f t="shared" si="100"/>
        <v>-</v>
      </c>
      <c r="AZ198" s="86" t="str">
        <f t="shared" si="101"/>
        <v>-</v>
      </c>
      <c r="BA198" s="86" t="str">
        <f t="shared" si="102"/>
        <v>-</v>
      </c>
      <c r="BB198" s="86" t="str">
        <f t="shared" si="103"/>
        <v>-</v>
      </c>
      <c r="BC198" s="86" t="str">
        <f t="shared" si="104"/>
        <v>-</v>
      </c>
      <c r="BD198" s="86" t="str">
        <f t="shared" si="105"/>
        <v>-</v>
      </c>
      <c r="BE198" s="86" t="str">
        <f t="shared" si="106"/>
        <v>-</v>
      </c>
      <c r="BF198" s="86" t="str">
        <f t="shared" si="107"/>
        <v>-</v>
      </c>
    </row>
    <row r="199" spans="1:58" x14ac:dyDescent="0.2">
      <c r="A199" s="19" t="s">
        <v>1144</v>
      </c>
      <c r="B199" s="19" t="s">
        <v>76</v>
      </c>
      <c r="C199" s="19">
        <v>16339293</v>
      </c>
      <c r="D199" s="81">
        <v>3</v>
      </c>
      <c r="E199" s="19" t="s">
        <v>1149</v>
      </c>
      <c r="F199" s="19" t="s">
        <v>1457</v>
      </c>
      <c r="G199" s="19" t="s">
        <v>1458</v>
      </c>
      <c r="H199" s="19" t="s">
        <v>663</v>
      </c>
      <c r="I199" s="19" t="s">
        <v>663</v>
      </c>
      <c r="J199" s="19">
        <v>80</v>
      </c>
      <c r="K199" s="19" t="s">
        <v>563</v>
      </c>
      <c r="L199" s="19" t="s">
        <v>516</v>
      </c>
      <c r="M199" s="19" t="s">
        <v>21</v>
      </c>
      <c r="N199" s="19">
        <v>45708</v>
      </c>
      <c r="O199" s="19">
        <v>30</v>
      </c>
      <c r="P199" s="81">
        <v>1</v>
      </c>
      <c r="Q199" s="19" t="s">
        <v>23</v>
      </c>
      <c r="R199" s="19" t="s">
        <v>11</v>
      </c>
      <c r="S199" s="19" t="s">
        <v>23</v>
      </c>
      <c r="T199" s="19">
        <v>30</v>
      </c>
      <c r="U199" s="19" t="s">
        <v>11</v>
      </c>
      <c r="V199" s="19" t="s">
        <v>11</v>
      </c>
      <c r="W199" s="19" t="s">
        <v>19</v>
      </c>
      <c r="X199" s="19">
        <v>3127645</v>
      </c>
      <c r="Y199" s="19" t="s">
        <v>735</v>
      </c>
      <c r="Z199" s="19">
        <v>30</v>
      </c>
      <c r="AA199" s="19">
        <v>3127645</v>
      </c>
      <c r="AB199" s="19">
        <v>3127645</v>
      </c>
      <c r="AC199" s="178" t="str">
        <f>IF(OR(M199="13",M199="14",P199=8),"",IF(AND(OR(S199="AUTORIZADO", S199="PENDIENTE", S199="REDUCIDO", S199="AMPLIADO"),L199&lt;&gt;"HONORARIO" ), CONCATENATE(IF(H199="X","H",H199),"_",IF(OR(P199=5,P199=6),_xlfn.CONCAT(P199,"A"),P199),"_",VLOOKUP(T199,Datos!$B$2:$C$5,2,TRUE)),""))</f>
        <v>H_1_[11 +]</v>
      </c>
      <c r="AD199" s="178">
        <f t="shared" si="81"/>
        <v>6255290</v>
      </c>
      <c r="AE199" s="82" t="str">
        <f t="shared" si="82"/>
        <v>-</v>
      </c>
      <c r="AF199" s="83" t="str">
        <f t="shared" si="83"/>
        <v>070601</v>
      </c>
      <c r="AG199" s="84"/>
      <c r="AH199" s="85" t="str">
        <f t="shared" si="84"/>
        <v>Corporación de Fomento de la Producción</v>
      </c>
      <c r="AI199" s="82" t="str">
        <f t="shared" si="85"/>
        <v>-</v>
      </c>
      <c r="AJ199" s="82">
        <f t="shared" si="86"/>
        <v>3</v>
      </c>
      <c r="AK199" s="82" t="str">
        <f t="shared" si="87"/>
        <v>-</v>
      </c>
      <c r="AL199" s="82" t="str">
        <f t="shared" si="88"/>
        <v>Identifica este registro como HOMBRE</v>
      </c>
      <c r="AM199" s="82" t="str">
        <f t="shared" si="89"/>
        <v>-</v>
      </c>
      <c r="AN199" s="82" t="str">
        <f t="shared" si="90"/>
        <v>-</v>
      </c>
      <c r="AO199" s="82" t="str">
        <f t="shared" si="91"/>
        <v>-</v>
      </c>
      <c r="AP199" s="57" t="str">
        <f t="shared" si="92"/>
        <v>-</v>
      </c>
      <c r="AQ199" s="86" t="str">
        <f t="shared" si="93"/>
        <v>-</v>
      </c>
      <c r="AR199" s="86" t="str">
        <f>IF(N199="","PRIMER_DIA en blanco",
IF(AND(M199="01",N199&gt;=L_Conversion!$C$118,N199&lt;=L_Conversion!$D$118),"-",
IF(AND(M199="02",N199&gt;=L_Conversion!$C$119,N199&lt;=L_Conversion!$D$119),"-",
IF(AND(M199="03",N199&gt;=L_Conversion!$C$120,N199&lt;=L_Conversion!$D$120),"-",
IF(AND(M199="04",N199&gt;=L_Conversion!$C$121,N199&lt;=L_Conversion!$D$121),"-",
IF(AND(M199="05",N199&gt;=L_Conversion!$C$122,N199&lt;=L_Conversion!$D$122),"-",
IF(AND(M199="06",N199&gt;=L_Conversion!$C$123,N199&lt;=L_Conversion!$D$123),"-",
IF(AND(M199="07",N199&gt;=L_Conversion!$C$124,N199&lt;=L_Conversion!$D$124),"-",
IF(AND(M199="08",N199&gt;=L_Conversion!$C$125,N199&lt;=L_Conversion!$D$125),"-",
IF(AND(M199="09",N199&gt;=L_Conversion!$C$126,N199&lt;=L_Conversion!$D$126),"-",
IF(AND(M199="10",N199&gt;=L_Conversion!$C$127,N199&lt;=L_Conversion!$D$127),"-",
IF(AND(M199="11",N199&gt;=L_Conversion!$C$128,N199&lt;=L_Conversion!$D$128),"-",
IF(AND(M199="12",N199&gt;=L_Conversion!$C$129,N199&lt;=L_Conversion!$D$129),"-",
IF(AND(M199="13",N199&gt;=L_Conversion!$C$116,N199&lt;=L_Conversion!$D$116),"-",
IF(AND(M199="14",N199&gt;=L_Conversion!$C$117,N199&lt;=L_Conversion!$D$117),"-",
"PRIMER_DIA fuera de rango")))))))))))))))</f>
        <v>-</v>
      </c>
      <c r="AS199" s="86" t="str">
        <f t="shared" si="94"/>
        <v>-</v>
      </c>
      <c r="AT199" s="86" t="str">
        <f t="shared" si="95"/>
        <v>-</v>
      </c>
      <c r="AU199" s="86" t="str">
        <f t="shared" si="96"/>
        <v>-</v>
      </c>
      <c r="AV199" s="86" t="str">
        <f t="shared" si="97"/>
        <v>-</v>
      </c>
      <c r="AW199" s="86" t="str">
        <f t="shared" si="98"/>
        <v>-</v>
      </c>
      <c r="AX199" s="86" t="str">
        <f t="shared" si="99"/>
        <v>-</v>
      </c>
      <c r="AY199" s="86" t="str">
        <f t="shared" si="100"/>
        <v>-</v>
      </c>
      <c r="AZ199" s="86" t="str">
        <f t="shared" si="101"/>
        <v>-</v>
      </c>
      <c r="BA199" s="86" t="str">
        <f t="shared" si="102"/>
        <v>-</v>
      </c>
      <c r="BB199" s="86" t="str">
        <f t="shared" si="103"/>
        <v>-</v>
      </c>
      <c r="BC199" s="86" t="str">
        <f t="shared" si="104"/>
        <v>-</v>
      </c>
      <c r="BD199" s="86" t="str">
        <f t="shared" si="105"/>
        <v>-</v>
      </c>
      <c r="BE199" s="86" t="str">
        <f t="shared" si="106"/>
        <v>-</v>
      </c>
      <c r="BF199" s="86" t="str">
        <f t="shared" si="107"/>
        <v>-</v>
      </c>
    </row>
    <row r="200" spans="1:58" x14ac:dyDescent="0.2">
      <c r="A200" s="19" t="s">
        <v>1144</v>
      </c>
      <c r="B200" s="19" t="s">
        <v>76</v>
      </c>
      <c r="C200" s="19">
        <v>12677305</v>
      </c>
      <c r="D200" s="81">
        <v>6</v>
      </c>
      <c r="E200" s="19" t="s">
        <v>1173</v>
      </c>
      <c r="F200" s="19" t="s">
        <v>1504</v>
      </c>
      <c r="G200" s="19" t="s">
        <v>1505</v>
      </c>
      <c r="H200" s="19" t="s">
        <v>1033</v>
      </c>
      <c r="I200" s="19" t="s">
        <v>662</v>
      </c>
      <c r="J200" s="19">
        <v>80</v>
      </c>
      <c r="K200" s="19" t="s">
        <v>563</v>
      </c>
      <c r="L200" s="19" t="s">
        <v>502</v>
      </c>
      <c r="M200" s="19" t="s">
        <v>21</v>
      </c>
      <c r="N200" s="19">
        <v>45708</v>
      </c>
      <c r="O200" s="19">
        <v>2</v>
      </c>
      <c r="P200" s="81">
        <v>1</v>
      </c>
      <c r="Q200" s="19" t="s">
        <v>23</v>
      </c>
      <c r="R200" s="19" t="s">
        <v>11</v>
      </c>
      <c r="S200" s="19" t="s">
        <v>23</v>
      </c>
      <c r="T200" s="19">
        <v>2</v>
      </c>
      <c r="U200" s="19" t="s">
        <v>11</v>
      </c>
      <c r="V200" s="19" t="s">
        <v>19</v>
      </c>
      <c r="W200" s="19" t="s">
        <v>19</v>
      </c>
      <c r="X200" s="19">
        <v>33237</v>
      </c>
      <c r="Y200" s="19" t="s">
        <v>735</v>
      </c>
      <c r="Z200" s="19">
        <v>2</v>
      </c>
      <c r="AA200" s="19">
        <v>33237</v>
      </c>
      <c r="AB200" s="19">
        <v>33237</v>
      </c>
      <c r="AC200" s="178" t="str">
        <f>IF(OR(M200="13",M200="14",P200=8),"",IF(AND(OR(S200="AUTORIZADO", S200="PENDIENTE", S200="REDUCIDO", S200="AMPLIADO"),L200&lt;&gt;"HONORARIO" ), CONCATENATE(IF(H200="X","H",H200),"_",IF(OR(P200=5,P200=6),_xlfn.CONCAT(P200,"A"),P200),"_",VLOOKUP(T200,Datos!$B$2:$C$5,2,TRUE)),""))</f>
        <v>M_1_[hasta 3]</v>
      </c>
      <c r="AD200" s="178">
        <f t="shared" si="81"/>
        <v>66474</v>
      </c>
      <c r="AE200" s="82" t="str">
        <f t="shared" si="82"/>
        <v>-</v>
      </c>
      <c r="AF200" s="83" t="str">
        <f t="shared" si="83"/>
        <v>070601</v>
      </c>
      <c r="AG200" s="84"/>
      <c r="AH200" s="85" t="str">
        <f t="shared" si="84"/>
        <v>Corporación de Fomento de la Producción</v>
      </c>
      <c r="AI200" s="82" t="str">
        <f t="shared" si="85"/>
        <v>-</v>
      </c>
      <c r="AJ200" s="82">
        <f t="shared" si="86"/>
        <v>6</v>
      </c>
      <c r="AK200" s="82" t="str">
        <f t="shared" si="87"/>
        <v>-</v>
      </c>
      <c r="AL200" s="82" t="str">
        <f t="shared" si="88"/>
        <v>Identifica este registro como MUJER</v>
      </c>
      <c r="AM200" s="82" t="str">
        <f t="shared" si="89"/>
        <v>-</v>
      </c>
      <c r="AN200" s="82" t="str">
        <f t="shared" si="90"/>
        <v>-</v>
      </c>
      <c r="AO200" s="82" t="str">
        <f t="shared" si="91"/>
        <v>-</v>
      </c>
      <c r="AP200" s="57" t="str">
        <f t="shared" si="92"/>
        <v>-</v>
      </c>
      <c r="AQ200" s="86" t="str">
        <f t="shared" si="93"/>
        <v>-</v>
      </c>
      <c r="AR200" s="86" t="str">
        <f>IF(N200="","PRIMER_DIA en blanco",
IF(AND(M200="01",N200&gt;=L_Conversion!$C$118,N200&lt;=L_Conversion!$D$118),"-",
IF(AND(M200="02",N200&gt;=L_Conversion!$C$119,N200&lt;=L_Conversion!$D$119),"-",
IF(AND(M200="03",N200&gt;=L_Conversion!$C$120,N200&lt;=L_Conversion!$D$120),"-",
IF(AND(M200="04",N200&gt;=L_Conversion!$C$121,N200&lt;=L_Conversion!$D$121),"-",
IF(AND(M200="05",N200&gt;=L_Conversion!$C$122,N200&lt;=L_Conversion!$D$122),"-",
IF(AND(M200="06",N200&gt;=L_Conversion!$C$123,N200&lt;=L_Conversion!$D$123),"-",
IF(AND(M200="07",N200&gt;=L_Conversion!$C$124,N200&lt;=L_Conversion!$D$124),"-",
IF(AND(M200="08",N200&gt;=L_Conversion!$C$125,N200&lt;=L_Conversion!$D$125),"-",
IF(AND(M200="09",N200&gt;=L_Conversion!$C$126,N200&lt;=L_Conversion!$D$126),"-",
IF(AND(M200="10",N200&gt;=L_Conversion!$C$127,N200&lt;=L_Conversion!$D$127),"-",
IF(AND(M200="11",N200&gt;=L_Conversion!$C$128,N200&lt;=L_Conversion!$D$128),"-",
IF(AND(M200="12",N200&gt;=L_Conversion!$C$129,N200&lt;=L_Conversion!$D$129),"-",
IF(AND(M200="13",N200&gt;=L_Conversion!$C$116,N200&lt;=L_Conversion!$D$116),"-",
IF(AND(M200="14",N200&gt;=L_Conversion!$C$117,N200&lt;=L_Conversion!$D$117),"-",
"PRIMER_DIA fuera de rango")))))))))))))))</f>
        <v>-</v>
      </c>
      <c r="AS200" s="86" t="str">
        <f t="shared" si="94"/>
        <v>-</v>
      </c>
      <c r="AT200" s="86" t="str">
        <f t="shared" si="95"/>
        <v>-</v>
      </c>
      <c r="AU200" s="86" t="str">
        <f t="shared" si="96"/>
        <v>-</v>
      </c>
      <c r="AV200" s="86" t="str">
        <f t="shared" si="97"/>
        <v>-</v>
      </c>
      <c r="AW200" s="86" t="str">
        <f t="shared" si="98"/>
        <v>-</v>
      </c>
      <c r="AX200" s="86" t="str">
        <f t="shared" si="99"/>
        <v>-</v>
      </c>
      <c r="AY200" s="86" t="str">
        <f t="shared" si="100"/>
        <v>-</v>
      </c>
      <c r="AZ200" s="86" t="str">
        <f t="shared" si="101"/>
        <v>-</v>
      </c>
      <c r="BA200" s="86" t="str">
        <f t="shared" si="102"/>
        <v>-</v>
      </c>
      <c r="BB200" s="86" t="str">
        <f t="shared" si="103"/>
        <v>-</v>
      </c>
      <c r="BC200" s="86" t="str">
        <f t="shared" si="104"/>
        <v>-</v>
      </c>
      <c r="BD200" s="86" t="str">
        <f t="shared" si="105"/>
        <v>-</v>
      </c>
      <c r="BE200" s="86" t="str">
        <f t="shared" si="106"/>
        <v>-</v>
      </c>
      <c r="BF200" s="86" t="str">
        <f t="shared" si="107"/>
        <v>-</v>
      </c>
    </row>
    <row r="201" spans="1:58" x14ac:dyDescent="0.2">
      <c r="A201" s="19" t="s">
        <v>1144</v>
      </c>
      <c r="B201" s="19" t="s">
        <v>76</v>
      </c>
      <c r="C201" s="19">
        <v>12445110</v>
      </c>
      <c r="D201" s="81">
        <v>8</v>
      </c>
      <c r="E201" s="19" t="s">
        <v>1506</v>
      </c>
      <c r="F201" s="19" t="s">
        <v>1507</v>
      </c>
      <c r="G201" s="19" t="s">
        <v>1508</v>
      </c>
      <c r="H201" s="19" t="s">
        <v>663</v>
      </c>
      <c r="I201" s="19" t="s">
        <v>662</v>
      </c>
      <c r="J201" s="19">
        <v>80</v>
      </c>
      <c r="K201" s="19" t="s">
        <v>563</v>
      </c>
      <c r="L201" s="19" t="s">
        <v>502</v>
      </c>
      <c r="M201" s="19" t="s">
        <v>21</v>
      </c>
      <c r="N201" s="19">
        <v>45708</v>
      </c>
      <c r="O201" s="19">
        <v>4</v>
      </c>
      <c r="P201" s="81">
        <v>1</v>
      </c>
      <c r="Q201" s="19" t="s">
        <v>23</v>
      </c>
      <c r="R201" s="19" t="s">
        <v>11</v>
      </c>
      <c r="S201" s="19" t="s">
        <v>23</v>
      </c>
      <c r="T201" s="19">
        <v>4</v>
      </c>
      <c r="U201" s="19" t="s">
        <v>11</v>
      </c>
      <c r="V201" s="19" t="s">
        <v>11</v>
      </c>
      <c r="W201" s="19" t="s">
        <v>19</v>
      </c>
      <c r="X201" s="19">
        <v>156646</v>
      </c>
      <c r="Y201" s="19" t="s">
        <v>735</v>
      </c>
      <c r="Z201" s="19">
        <v>4</v>
      </c>
      <c r="AA201" s="19">
        <v>156646</v>
      </c>
      <c r="AB201" s="19">
        <v>156646</v>
      </c>
      <c r="AC201" s="178" t="str">
        <f>IF(OR(M201="13",M201="14",P201=8),"",IF(AND(OR(S201="AUTORIZADO", S201="PENDIENTE", S201="REDUCIDO", S201="AMPLIADO"),L201&lt;&gt;"HONORARIO" ), CONCATENATE(IF(H201="X","H",H201),"_",IF(OR(P201=5,P201=6),_xlfn.CONCAT(P201,"A"),P201),"_",VLOOKUP(T201,Datos!$B$2:$C$5,2,TRUE)),""))</f>
        <v>H_1_[4 a 10]</v>
      </c>
      <c r="AD201" s="178">
        <f t="shared" si="81"/>
        <v>313292</v>
      </c>
      <c r="AE201" s="82" t="str">
        <f t="shared" si="82"/>
        <v>-</v>
      </c>
      <c r="AF201" s="83" t="str">
        <f t="shared" si="83"/>
        <v>070601</v>
      </c>
      <c r="AG201" s="84"/>
      <c r="AH201" s="85" t="str">
        <f t="shared" si="84"/>
        <v>Corporación de Fomento de la Producción</v>
      </c>
      <c r="AI201" s="82" t="str">
        <f t="shared" si="85"/>
        <v>-</v>
      </c>
      <c r="AJ201" s="82">
        <f t="shared" si="86"/>
        <v>8</v>
      </c>
      <c r="AK201" s="82" t="str">
        <f t="shared" si="87"/>
        <v>-</v>
      </c>
      <c r="AL201" s="82" t="str">
        <f t="shared" si="88"/>
        <v>Identifica este registro como HOMBRE</v>
      </c>
      <c r="AM201" s="82" t="str">
        <f t="shared" si="89"/>
        <v>-</v>
      </c>
      <c r="AN201" s="82" t="str">
        <f t="shared" si="90"/>
        <v>-</v>
      </c>
      <c r="AO201" s="82" t="str">
        <f t="shared" si="91"/>
        <v>-</v>
      </c>
      <c r="AP201" s="57" t="str">
        <f t="shared" si="92"/>
        <v>-</v>
      </c>
      <c r="AQ201" s="86" t="str">
        <f t="shared" si="93"/>
        <v>-</v>
      </c>
      <c r="AR201" s="86" t="str">
        <f>IF(N201="","PRIMER_DIA en blanco",
IF(AND(M201="01",N201&gt;=L_Conversion!$C$118,N201&lt;=L_Conversion!$D$118),"-",
IF(AND(M201="02",N201&gt;=L_Conversion!$C$119,N201&lt;=L_Conversion!$D$119),"-",
IF(AND(M201="03",N201&gt;=L_Conversion!$C$120,N201&lt;=L_Conversion!$D$120),"-",
IF(AND(M201="04",N201&gt;=L_Conversion!$C$121,N201&lt;=L_Conversion!$D$121),"-",
IF(AND(M201="05",N201&gt;=L_Conversion!$C$122,N201&lt;=L_Conversion!$D$122),"-",
IF(AND(M201="06",N201&gt;=L_Conversion!$C$123,N201&lt;=L_Conversion!$D$123),"-",
IF(AND(M201="07",N201&gt;=L_Conversion!$C$124,N201&lt;=L_Conversion!$D$124),"-",
IF(AND(M201="08",N201&gt;=L_Conversion!$C$125,N201&lt;=L_Conversion!$D$125),"-",
IF(AND(M201="09",N201&gt;=L_Conversion!$C$126,N201&lt;=L_Conversion!$D$126),"-",
IF(AND(M201="10",N201&gt;=L_Conversion!$C$127,N201&lt;=L_Conversion!$D$127),"-",
IF(AND(M201="11",N201&gt;=L_Conversion!$C$128,N201&lt;=L_Conversion!$D$128),"-",
IF(AND(M201="12",N201&gt;=L_Conversion!$C$129,N201&lt;=L_Conversion!$D$129),"-",
IF(AND(M201="13",N201&gt;=L_Conversion!$C$116,N201&lt;=L_Conversion!$D$116),"-",
IF(AND(M201="14",N201&gt;=L_Conversion!$C$117,N201&lt;=L_Conversion!$D$117),"-",
"PRIMER_DIA fuera de rango")))))))))))))))</f>
        <v>-</v>
      </c>
      <c r="AS201" s="86" t="str">
        <f t="shared" si="94"/>
        <v>-</v>
      </c>
      <c r="AT201" s="86" t="str">
        <f t="shared" si="95"/>
        <v>-</v>
      </c>
      <c r="AU201" s="86" t="str">
        <f t="shared" si="96"/>
        <v>-</v>
      </c>
      <c r="AV201" s="86" t="str">
        <f t="shared" si="97"/>
        <v>-</v>
      </c>
      <c r="AW201" s="86" t="str">
        <f t="shared" si="98"/>
        <v>-</v>
      </c>
      <c r="AX201" s="86" t="str">
        <f t="shared" si="99"/>
        <v>-</v>
      </c>
      <c r="AY201" s="86" t="str">
        <f t="shared" si="100"/>
        <v>-</v>
      </c>
      <c r="AZ201" s="86" t="str">
        <f t="shared" si="101"/>
        <v>-</v>
      </c>
      <c r="BA201" s="86" t="str">
        <f t="shared" si="102"/>
        <v>-</v>
      </c>
      <c r="BB201" s="86" t="str">
        <f t="shared" si="103"/>
        <v>-</v>
      </c>
      <c r="BC201" s="86" t="str">
        <f t="shared" si="104"/>
        <v>-</v>
      </c>
      <c r="BD201" s="86" t="str">
        <f t="shared" si="105"/>
        <v>-</v>
      </c>
      <c r="BE201" s="86" t="str">
        <f t="shared" si="106"/>
        <v>-</v>
      </c>
      <c r="BF201" s="86" t="str">
        <f t="shared" si="107"/>
        <v>-</v>
      </c>
    </row>
    <row r="202" spans="1:58" x14ac:dyDescent="0.2">
      <c r="A202" s="19" t="s">
        <v>1144</v>
      </c>
      <c r="B202" s="19" t="s">
        <v>76</v>
      </c>
      <c r="C202" s="19">
        <v>18925452</v>
      </c>
      <c r="D202" s="81">
        <v>0</v>
      </c>
      <c r="E202" s="19" t="s">
        <v>1187</v>
      </c>
      <c r="F202" s="19" t="s">
        <v>1205</v>
      </c>
      <c r="G202" s="19" t="s">
        <v>1499</v>
      </c>
      <c r="H202" s="19" t="s">
        <v>663</v>
      </c>
      <c r="I202" s="19" t="s">
        <v>662</v>
      </c>
      <c r="J202" s="19">
        <v>80</v>
      </c>
      <c r="K202" s="19" t="s">
        <v>563</v>
      </c>
      <c r="L202" s="19" t="s">
        <v>502</v>
      </c>
      <c r="M202" s="19" t="s">
        <v>21</v>
      </c>
      <c r="N202" s="19">
        <v>45708</v>
      </c>
      <c r="O202" s="19">
        <v>2</v>
      </c>
      <c r="P202" s="81">
        <v>1</v>
      </c>
      <c r="Q202" s="19" t="s">
        <v>23</v>
      </c>
      <c r="R202" s="19" t="s">
        <v>11</v>
      </c>
      <c r="S202" s="19" t="s">
        <v>23</v>
      </c>
      <c r="T202" s="19">
        <v>2</v>
      </c>
      <c r="U202" s="19" t="s">
        <v>11</v>
      </c>
      <c r="V202" s="19" t="s">
        <v>19</v>
      </c>
      <c r="W202" s="19" t="s">
        <v>19</v>
      </c>
      <c r="X202" s="19">
        <v>31256</v>
      </c>
      <c r="Y202" s="19" t="s">
        <v>735</v>
      </c>
      <c r="Z202" s="19">
        <v>2</v>
      </c>
      <c r="AA202" s="19">
        <v>31256</v>
      </c>
      <c r="AB202" s="19">
        <v>31256</v>
      </c>
      <c r="AC202" s="178" t="str">
        <f>IF(OR(M202="13",M202="14",P202=8),"",IF(AND(OR(S202="AUTORIZADO", S202="PENDIENTE", S202="REDUCIDO", S202="AMPLIADO"),L202&lt;&gt;"HONORARIO" ), CONCATENATE(IF(H202="X","H",H202),"_",IF(OR(P202=5,P202=6),_xlfn.CONCAT(P202,"A"),P202),"_",VLOOKUP(T202,Datos!$B$2:$C$5,2,TRUE)),""))</f>
        <v>H_1_[hasta 3]</v>
      </c>
      <c r="AD202" s="178">
        <f t="shared" si="81"/>
        <v>62512</v>
      </c>
      <c r="AE202" s="82" t="str">
        <f t="shared" si="82"/>
        <v>-</v>
      </c>
      <c r="AF202" s="83" t="str">
        <f t="shared" si="83"/>
        <v>070601</v>
      </c>
      <c r="AG202" s="84"/>
      <c r="AH202" s="85" t="str">
        <f t="shared" si="84"/>
        <v>Corporación de Fomento de la Producción</v>
      </c>
      <c r="AI202" s="82" t="str">
        <f t="shared" si="85"/>
        <v>-</v>
      </c>
      <c r="AJ202" s="82">
        <f t="shared" si="86"/>
        <v>0</v>
      </c>
      <c r="AK202" s="82" t="str">
        <f t="shared" si="87"/>
        <v>-</v>
      </c>
      <c r="AL202" s="82" t="str">
        <f t="shared" si="88"/>
        <v>Identifica este registro como HOMBRE</v>
      </c>
      <c r="AM202" s="82" t="str">
        <f t="shared" si="89"/>
        <v>-</v>
      </c>
      <c r="AN202" s="82" t="str">
        <f t="shared" si="90"/>
        <v>-</v>
      </c>
      <c r="AO202" s="82" t="str">
        <f t="shared" si="91"/>
        <v>-</v>
      </c>
      <c r="AP202" s="57" t="str">
        <f t="shared" si="92"/>
        <v>-</v>
      </c>
      <c r="AQ202" s="86" t="str">
        <f t="shared" si="93"/>
        <v>-</v>
      </c>
      <c r="AR202" s="86" t="str">
        <f>IF(N202="","PRIMER_DIA en blanco",
IF(AND(M202="01",N202&gt;=L_Conversion!$C$118,N202&lt;=L_Conversion!$D$118),"-",
IF(AND(M202="02",N202&gt;=L_Conversion!$C$119,N202&lt;=L_Conversion!$D$119),"-",
IF(AND(M202="03",N202&gt;=L_Conversion!$C$120,N202&lt;=L_Conversion!$D$120),"-",
IF(AND(M202="04",N202&gt;=L_Conversion!$C$121,N202&lt;=L_Conversion!$D$121),"-",
IF(AND(M202="05",N202&gt;=L_Conversion!$C$122,N202&lt;=L_Conversion!$D$122),"-",
IF(AND(M202="06",N202&gt;=L_Conversion!$C$123,N202&lt;=L_Conversion!$D$123),"-",
IF(AND(M202="07",N202&gt;=L_Conversion!$C$124,N202&lt;=L_Conversion!$D$124),"-",
IF(AND(M202="08",N202&gt;=L_Conversion!$C$125,N202&lt;=L_Conversion!$D$125),"-",
IF(AND(M202="09",N202&gt;=L_Conversion!$C$126,N202&lt;=L_Conversion!$D$126),"-",
IF(AND(M202="10",N202&gt;=L_Conversion!$C$127,N202&lt;=L_Conversion!$D$127),"-",
IF(AND(M202="11",N202&gt;=L_Conversion!$C$128,N202&lt;=L_Conversion!$D$128),"-",
IF(AND(M202="12",N202&gt;=L_Conversion!$C$129,N202&lt;=L_Conversion!$D$129),"-",
IF(AND(M202="13",N202&gt;=L_Conversion!$C$116,N202&lt;=L_Conversion!$D$116),"-",
IF(AND(M202="14",N202&gt;=L_Conversion!$C$117,N202&lt;=L_Conversion!$D$117),"-",
"PRIMER_DIA fuera de rango")))))))))))))))</f>
        <v>-</v>
      </c>
      <c r="AS202" s="86" t="str">
        <f t="shared" si="94"/>
        <v>-</v>
      </c>
      <c r="AT202" s="86" t="str">
        <f t="shared" si="95"/>
        <v>-</v>
      </c>
      <c r="AU202" s="86" t="str">
        <f t="shared" si="96"/>
        <v>-</v>
      </c>
      <c r="AV202" s="86" t="str">
        <f t="shared" si="97"/>
        <v>-</v>
      </c>
      <c r="AW202" s="86" t="str">
        <f t="shared" si="98"/>
        <v>-</v>
      </c>
      <c r="AX202" s="86" t="str">
        <f t="shared" si="99"/>
        <v>-</v>
      </c>
      <c r="AY202" s="86" t="str">
        <f t="shared" si="100"/>
        <v>-</v>
      </c>
      <c r="AZ202" s="86" t="str">
        <f t="shared" si="101"/>
        <v>-</v>
      </c>
      <c r="BA202" s="86" t="str">
        <f t="shared" si="102"/>
        <v>-</v>
      </c>
      <c r="BB202" s="86" t="str">
        <f t="shared" si="103"/>
        <v>-</v>
      </c>
      <c r="BC202" s="86" t="str">
        <f t="shared" si="104"/>
        <v>-</v>
      </c>
      <c r="BD202" s="86" t="str">
        <f t="shared" si="105"/>
        <v>-</v>
      </c>
      <c r="BE202" s="86" t="str">
        <f t="shared" si="106"/>
        <v>-</v>
      </c>
      <c r="BF202" s="86" t="str">
        <f t="shared" si="107"/>
        <v>-</v>
      </c>
    </row>
    <row r="203" spans="1:58" x14ac:dyDescent="0.2">
      <c r="A203" s="19" t="s">
        <v>1144</v>
      </c>
      <c r="B203" s="19" t="s">
        <v>76</v>
      </c>
      <c r="C203" s="19">
        <v>17175870</v>
      </c>
      <c r="D203" s="81" t="s">
        <v>1151</v>
      </c>
      <c r="E203" s="19" t="s">
        <v>1168</v>
      </c>
      <c r="F203" s="19" t="s">
        <v>1509</v>
      </c>
      <c r="G203" s="19" t="s">
        <v>1510</v>
      </c>
      <c r="H203" s="19" t="s">
        <v>663</v>
      </c>
      <c r="I203" s="19" t="s">
        <v>662</v>
      </c>
      <c r="J203" s="19">
        <v>80</v>
      </c>
      <c r="K203" s="19" t="s">
        <v>563</v>
      </c>
      <c r="L203" s="19" t="s">
        <v>502</v>
      </c>
      <c r="M203" s="19" t="s">
        <v>21</v>
      </c>
      <c r="N203" s="19">
        <v>45708</v>
      </c>
      <c r="O203" s="19">
        <v>2</v>
      </c>
      <c r="P203" s="81">
        <v>1</v>
      </c>
      <c r="Q203" s="19" t="s">
        <v>23</v>
      </c>
      <c r="R203" s="19" t="s">
        <v>11</v>
      </c>
      <c r="S203" s="19" t="s">
        <v>23</v>
      </c>
      <c r="T203" s="19">
        <v>2</v>
      </c>
      <c r="U203" s="19" t="s">
        <v>11</v>
      </c>
      <c r="V203" s="19" t="s">
        <v>19</v>
      </c>
      <c r="W203" s="19" t="s">
        <v>19</v>
      </c>
      <c r="X203" s="19">
        <v>42351</v>
      </c>
      <c r="Y203" s="19" t="s">
        <v>735</v>
      </c>
      <c r="Z203" s="19">
        <v>2</v>
      </c>
      <c r="AA203" s="19">
        <v>42351</v>
      </c>
      <c r="AB203" s="19">
        <v>42351</v>
      </c>
      <c r="AC203" s="178" t="str">
        <f>IF(OR(M203="13",M203="14",P203=8),"",IF(AND(OR(S203="AUTORIZADO", S203="PENDIENTE", S203="REDUCIDO", S203="AMPLIADO"),L203&lt;&gt;"HONORARIO" ), CONCATENATE(IF(H203="X","H",H203),"_",IF(OR(P203=5,P203=6),_xlfn.CONCAT(P203,"A"),P203),"_",VLOOKUP(T203,Datos!$B$2:$C$5,2,TRUE)),""))</f>
        <v>H_1_[hasta 3]</v>
      </c>
      <c r="AD203" s="178">
        <f t="shared" si="81"/>
        <v>84702</v>
      </c>
      <c r="AE203" s="82" t="str">
        <f t="shared" si="82"/>
        <v>-</v>
      </c>
      <c r="AF203" s="83" t="str">
        <f t="shared" si="83"/>
        <v>070601</v>
      </c>
      <c r="AG203" s="84"/>
      <c r="AH203" s="85" t="str">
        <f t="shared" si="84"/>
        <v>Corporación de Fomento de la Producción</v>
      </c>
      <c r="AI203" s="82" t="str">
        <f t="shared" si="85"/>
        <v>-</v>
      </c>
      <c r="AJ203" s="82" t="str">
        <f t="shared" si="86"/>
        <v>K</v>
      </c>
      <c r="AK203" s="82" t="str">
        <f t="shared" si="87"/>
        <v>-</v>
      </c>
      <c r="AL203" s="82" t="str">
        <f t="shared" si="88"/>
        <v>Identifica este registro como HOMBRE</v>
      </c>
      <c r="AM203" s="82" t="str">
        <f t="shared" si="89"/>
        <v>-</v>
      </c>
      <c r="AN203" s="82" t="str">
        <f t="shared" si="90"/>
        <v>-</v>
      </c>
      <c r="AO203" s="82" t="str">
        <f t="shared" si="91"/>
        <v>-</v>
      </c>
      <c r="AP203" s="57" t="str">
        <f t="shared" si="92"/>
        <v>-</v>
      </c>
      <c r="AQ203" s="86" t="str">
        <f t="shared" si="93"/>
        <v>-</v>
      </c>
      <c r="AR203" s="86" t="str">
        <f>IF(N203="","PRIMER_DIA en blanco",
IF(AND(M203="01",N203&gt;=L_Conversion!$C$118,N203&lt;=L_Conversion!$D$118),"-",
IF(AND(M203="02",N203&gt;=L_Conversion!$C$119,N203&lt;=L_Conversion!$D$119),"-",
IF(AND(M203="03",N203&gt;=L_Conversion!$C$120,N203&lt;=L_Conversion!$D$120),"-",
IF(AND(M203="04",N203&gt;=L_Conversion!$C$121,N203&lt;=L_Conversion!$D$121),"-",
IF(AND(M203="05",N203&gt;=L_Conversion!$C$122,N203&lt;=L_Conversion!$D$122),"-",
IF(AND(M203="06",N203&gt;=L_Conversion!$C$123,N203&lt;=L_Conversion!$D$123),"-",
IF(AND(M203="07",N203&gt;=L_Conversion!$C$124,N203&lt;=L_Conversion!$D$124),"-",
IF(AND(M203="08",N203&gt;=L_Conversion!$C$125,N203&lt;=L_Conversion!$D$125),"-",
IF(AND(M203="09",N203&gt;=L_Conversion!$C$126,N203&lt;=L_Conversion!$D$126),"-",
IF(AND(M203="10",N203&gt;=L_Conversion!$C$127,N203&lt;=L_Conversion!$D$127),"-",
IF(AND(M203="11",N203&gt;=L_Conversion!$C$128,N203&lt;=L_Conversion!$D$128),"-",
IF(AND(M203="12",N203&gt;=L_Conversion!$C$129,N203&lt;=L_Conversion!$D$129),"-",
IF(AND(M203="13",N203&gt;=L_Conversion!$C$116,N203&lt;=L_Conversion!$D$116),"-",
IF(AND(M203="14",N203&gt;=L_Conversion!$C$117,N203&lt;=L_Conversion!$D$117),"-",
"PRIMER_DIA fuera de rango")))))))))))))))</f>
        <v>-</v>
      </c>
      <c r="AS203" s="86" t="str">
        <f t="shared" si="94"/>
        <v>-</v>
      </c>
      <c r="AT203" s="86" t="str">
        <f t="shared" si="95"/>
        <v>-</v>
      </c>
      <c r="AU203" s="86" t="str">
        <f t="shared" si="96"/>
        <v>-</v>
      </c>
      <c r="AV203" s="86" t="str">
        <f t="shared" si="97"/>
        <v>-</v>
      </c>
      <c r="AW203" s="86" t="str">
        <f t="shared" si="98"/>
        <v>-</v>
      </c>
      <c r="AX203" s="86" t="str">
        <f t="shared" si="99"/>
        <v>-</v>
      </c>
      <c r="AY203" s="86" t="str">
        <f t="shared" si="100"/>
        <v>-</v>
      </c>
      <c r="AZ203" s="86" t="str">
        <f t="shared" si="101"/>
        <v>-</v>
      </c>
      <c r="BA203" s="86" t="str">
        <f t="shared" si="102"/>
        <v>-</v>
      </c>
      <c r="BB203" s="86" t="str">
        <f t="shared" si="103"/>
        <v>-</v>
      </c>
      <c r="BC203" s="86" t="str">
        <f t="shared" si="104"/>
        <v>-</v>
      </c>
      <c r="BD203" s="86" t="str">
        <f t="shared" si="105"/>
        <v>-</v>
      </c>
      <c r="BE203" s="86" t="str">
        <f t="shared" si="106"/>
        <v>-</v>
      </c>
      <c r="BF203" s="86" t="str">
        <f t="shared" si="107"/>
        <v>-</v>
      </c>
    </row>
    <row r="204" spans="1:58" x14ac:dyDescent="0.2">
      <c r="A204" s="19" t="s">
        <v>1144</v>
      </c>
      <c r="B204" s="19" t="s">
        <v>76</v>
      </c>
      <c r="C204" s="19">
        <v>7382109</v>
      </c>
      <c r="D204" s="81">
        <v>6</v>
      </c>
      <c r="E204" s="19" t="s">
        <v>1511</v>
      </c>
      <c r="F204" s="19" t="s">
        <v>1268</v>
      </c>
      <c r="G204" s="19" t="s">
        <v>1512</v>
      </c>
      <c r="H204" s="19" t="s">
        <v>663</v>
      </c>
      <c r="I204" s="19" t="s">
        <v>662</v>
      </c>
      <c r="J204" s="19">
        <v>60</v>
      </c>
      <c r="K204" s="19" t="s">
        <v>561</v>
      </c>
      <c r="L204" s="19" t="s">
        <v>497</v>
      </c>
      <c r="M204" s="19" t="s">
        <v>21</v>
      </c>
      <c r="N204" s="19">
        <v>45708</v>
      </c>
      <c r="O204" s="19">
        <v>15</v>
      </c>
      <c r="P204" s="81">
        <v>1</v>
      </c>
      <c r="Q204" s="19" t="s">
        <v>23</v>
      </c>
      <c r="R204" s="19" t="s">
        <v>11</v>
      </c>
      <c r="S204" s="19" t="s">
        <v>23</v>
      </c>
      <c r="T204" s="19">
        <v>15</v>
      </c>
      <c r="U204" s="19" t="s">
        <v>11</v>
      </c>
      <c r="V204" s="19" t="s">
        <v>11</v>
      </c>
      <c r="W204" s="19" t="s">
        <v>19</v>
      </c>
      <c r="X204" s="19">
        <v>1602247</v>
      </c>
      <c r="Y204" s="19" t="s">
        <v>735</v>
      </c>
      <c r="Z204" s="19">
        <v>15</v>
      </c>
      <c r="AA204" s="19">
        <v>1602247</v>
      </c>
      <c r="AB204" s="19">
        <v>1602247</v>
      </c>
      <c r="AC204" s="178" t="str">
        <f>IF(OR(M204="13",M204="14",P204=8),"",IF(AND(OR(S204="AUTORIZADO", S204="PENDIENTE", S204="REDUCIDO", S204="AMPLIADO"),L204&lt;&gt;"HONORARIO" ), CONCATENATE(IF(H204="X","H",H204),"_",IF(OR(P204=5,P204=6),_xlfn.CONCAT(P204,"A"),P204),"_",VLOOKUP(T204,Datos!$B$2:$C$5,2,TRUE)),""))</f>
        <v>H_1_[11 +]</v>
      </c>
      <c r="AD204" s="178">
        <f t="shared" si="81"/>
        <v>3204494</v>
      </c>
      <c r="AE204" s="82" t="str">
        <f t="shared" si="82"/>
        <v>-</v>
      </c>
      <c r="AF204" s="83" t="str">
        <f t="shared" si="83"/>
        <v>070601</v>
      </c>
      <c r="AG204" s="84"/>
      <c r="AH204" s="85" t="str">
        <f t="shared" si="84"/>
        <v>Corporación de Fomento de la Producción</v>
      </c>
      <c r="AI204" s="82" t="str">
        <f t="shared" si="85"/>
        <v>-</v>
      </c>
      <c r="AJ204" s="82">
        <f t="shared" si="86"/>
        <v>6</v>
      </c>
      <c r="AK204" s="82" t="str">
        <f t="shared" si="87"/>
        <v>-</v>
      </c>
      <c r="AL204" s="82" t="str">
        <f t="shared" si="88"/>
        <v>Identifica este registro como HOMBRE</v>
      </c>
      <c r="AM204" s="82" t="str">
        <f t="shared" si="89"/>
        <v>-</v>
      </c>
      <c r="AN204" s="82" t="str">
        <f t="shared" si="90"/>
        <v>-</v>
      </c>
      <c r="AO204" s="82" t="str">
        <f t="shared" si="91"/>
        <v>-</v>
      </c>
      <c r="AP204" s="57" t="str">
        <f t="shared" si="92"/>
        <v>-</v>
      </c>
      <c r="AQ204" s="86" t="str">
        <f t="shared" si="93"/>
        <v>-</v>
      </c>
      <c r="AR204" s="86" t="str">
        <f>IF(N204="","PRIMER_DIA en blanco",
IF(AND(M204="01",N204&gt;=L_Conversion!$C$118,N204&lt;=L_Conversion!$D$118),"-",
IF(AND(M204="02",N204&gt;=L_Conversion!$C$119,N204&lt;=L_Conversion!$D$119),"-",
IF(AND(M204="03",N204&gt;=L_Conversion!$C$120,N204&lt;=L_Conversion!$D$120),"-",
IF(AND(M204="04",N204&gt;=L_Conversion!$C$121,N204&lt;=L_Conversion!$D$121),"-",
IF(AND(M204="05",N204&gt;=L_Conversion!$C$122,N204&lt;=L_Conversion!$D$122),"-",
IF(AND(M204="06",N204&gt;=L_Conversion!$C$123,N204&lt;=L_Conversion!$D$123),"-",
IF(AND(M204="07",N204&gt;=L_Conversion!$C$124,N204&lt;=L_Conversion!$D$124),"-",
IF(AND(M204="08",N204&gt;=L_Conversion!$C$125,N204&lt;=L_Conversion!$D$125),"-",
IF(AND(M204="09",N204&gt;=L_Conversion!$C$126,N204&lt;=L_Conversion!$D$126),"-",
IF(AND(M204="10",N204&gt;=L_Conversion!$C$127,N204&lt;=L_Conversion!$D$127),"-",
IF(AND(M204="11",N204&gt;=L_Conversion!$C$128,N204&lt;=L_Conversion!$D$128),"-",
IF(AND(M204="12",N204&gt;=L_Conversion!$C$129,N204&lt;=L_Conversion!$D$129),"-",
IF(AND(M204="13",N204&gt;=L_Conversion!$C$116,N204&lt;=L_Conversion!$D$116),"-",
IF(AND(M204="14",N204&gt;=L_Conversion!$C$117,N204&lt;=L_Conversion!$D$117),"-",
"PRIMER_DIA fuera de rango")))))))))))))))</f>
        <v>-</v>
      </c>
      <c r="AS204" s="86" t="str">
        <f t="shared" si="94"/>
        <v>-</v>
      </c>
      <c r="AT204" s="86" t="str">
        <f t="shared" si="95"/>
        <v>-</v>
      </c>
      <c r="AU204" s="86" t="str">
        <f t="shared" si="96"/>
        <v>-</v>
      </c>
      <c r="AV204" s="86" t="str">
        <f t="shared" si="97"/>
        <v>-</v>
      </c>
      <c r="AW204" s="86" t="str">
        <f t="shared" si="98"/>
        <v>-</v>
      </c>
      <c r="AX204" s="86" t="str">
        <f t="shared" si="99"/>
        <v>-</v>
      </c>
      <c r="AY204" s="86" t="str">
        <f t="shared" si="100"/>
        <v>-</v>
      </c>
      <c r="AZ204" s="86" t="str">
        <f t="shared" si="101"/>
        <v>-</v>
      </c>
      <c r="BA204" s="86" t="str">
        <f t="shared" si="102"/>
        <v>-</v>
      </c>
      <c r="BB204" s="86" t="str">
        <f t="shared" si="103"/>
        <v>-</v>
      </c>
      <c r="BC204" s="86" t="str">
        <f t="shared" si="104"/>
        <v>-</v>
      </c>
      <c r="BD204" s="86" t="str">
        <f t="shared" si="105"/>
        <v>-</v>
      </c>
      <c r="BE204" s="86" t="str">
        <f t="shared" si="106"/>
        <v>-</v>
      </c>
      <c r="BF204" s="86" t="str">
        <f t="shared" si="107"/>
        <v>-</v>
      </c>
    </row>
    <row r="205" spans="1:58" x14ac:dyDescent="0.2">
      <c r="A205" s="19" t="s">
        <v>1144</v>
      </c>
      <c r="B205" s="19" t="s">
        <v>76</v>
      </c>
      <c r="C205" s="19">
        <v>8851632</v>
      </c>
      <c r="D205" s="81" t="s">
        <v>1151</v>
      </c>
      <c r="E205" s="19" t="s">
        <v>1266</v>
      </c>
      <c r="F205" s="19" t="s">
        <v>1217</v>
      </c>
      <c r="G205" s="19" t="s">
        <v>1267</v>
      </c>
      <c r="H205" s="19" t="s">
        <v>1033</v>
      </c>
      <c r="I205" s="19" t="s">
        <v>662</v>
      </c>
      <c r="J205" s="19">
        <v>60</v>
      </c>
      <c r="K205" s="19" t="s">
        <v>567</v>
      </c>
      <c r="L205" s="19" t="s">
        <v>497</v>
      </c>
      <c r="M205" s="19" t="s">
        <v>21</v>
      </c>
      <c r="N205" s="19">
        <v>45708</v>
      </c>
      <c r="O205" s="19">
        <v>7</v>
      </c>
      <c r="P205" s="81">
        <v>1</v>
      </c>
      <c r="Q205" s="19" t="s">
        <v>23</v>
      </c>
      <c r="R205" s="19" t="s">
        <v>11</v>
      </c>
      <c r="S205" s="19" t="s">
        <v>23</v>
      </c>
      <c r="T205" s="19">
        <v>7</v>
      </c>
      <c r="U205" s="19" t="s">
        <v>11</v>
      </c>
      <c r="V205" s="19" t="s">
        <v>11</v>
      </c>
      <c r="W205" s="19" t="s">
        <v>19</v>
      </c>
      <c r="X205" s="19">
        <v>314653</v>
      </c>
      <c r="Y205" s="19" t="s">
        <v>735</v>
      </c>
      <c r="Z205" s="19">
        <v>7</v>
      </c>
      <c r="AA205" s="19">
        <v>314653</v>
      </c>
      <c r="AB205" s="19">
        <v>314653</v>
      </c>
      <c r="AC205" s="178" t="str">
        <f>IF(OR(M205="13",M205="14",P205=8),"",IF(AND(OR(S205="AUTORIZADO", S205="PENDIENTE", S205="REDUCIDO", S205="AMPLIADO"),L205&lt;&gt;"HONORARIO" ), CONCATENATE(IF(H205="X","H",H205),"_",IF(OR(P205=5,P205=6),_xlfn.CONCAT(P205,"A"),P205),"_",VLOOKUP(T205,Datos!$B$2:$C$5,2,TRUE)),""))</f>
        <v>M_1_[4 a 10]</v>
      </c>
      <c r="AD205" s="178">
        <f t="shared" si="81"/>
        <v>629306</v>
      </c>
      <c r="AE205" s="82" t="str">
        <f t="shared" si="82"/>
        <v>-</v>
      </c>
      <c r="AF205" s="83" t="str">
        <f t="shared" si="83"/>
        <v>070601</v>
      </c>
      <c r="AG205" s="84"/>
      <c r="AH205" s="85" t="str">
        <f t="shared" si="84"/>
        <v>Corporación de Fomento de la Producción</v>
      </c>
      <c r="AI205" s="82" t="str">
        <f t="shared" si="85"/>
        <v>-</v>
      </c>
      <c r="AJ205" s="82" t="str">
        <f t="shared" si="86"/>
        <v>K</v>
      </c>
      <c r="AK205" s="82" t="str">
        <f t="shared" si="87"/>
        <v>-</v>
      </c>
      <c r="AL205" s="82" t="str">
        <f t="shared" si="88"/>
        <v>Identifica este registro como MUJER</v>
      </c>
      <c r="AM205" s="82" t="str">
        <f t="shared" si="89"/>
        <v>-</v>
      </c>
      <c r="AN205" s="82" t="str">
        <f t="shared" si="90"/>
        <v>-</v>
      </c>
      <c r="AO205" s="82" t="str">
        <f t="shared" si="91"/>
        <v>-</v>
      </c>
      <c r="AP205" s="57" t="str">
        <f t="shared" si="92"/>
        <v>-</v>
      </c>
      <c r="AQ205" s="86" t="str">
        <f t="shared" si="93"/>
        <v>-</v>
      </c>
      <c r="AR205" s="86" t="str">
        <f>IF(N205="","PRIMER_DIA en blanco",
IF(AND(M205="01",N205&gt;=L_Conversion!$C$118,N205&lt;=L_Conversion!$D$118),"-",
IF(AND(M205="02",N205&gt;=L_Conversion!$C$119,N205&lt;=L_Conversion!$D$119),"-",
IF(AND(M205="03",N205&gt;=L_Conversion!$C$120,N205&lt;=L_Conversion!$D$120),"-",
IF(AND(M205="04",N205&gt;=L_Conversion!$C$121,N205&lt;=L_Conversion!$D$121),"-",
IF(AND(M205="05",N205&gt;=L_Conversion!$C$122,N205&lt;=L_Conversion!$D$122),"-",
IF(AND(M205="06",N205&gt;=L_Conversion!$C$123,N205&lt;=L_Conversion!$D$123),"-",
IF(AND(M205="07",N205&gt;=L_Conversion!$C$124,N205&lt;=L_Conversion!$D$124),"-",
IF(AND(M205="08",N205&gt;=L_Conversion!$C$125,N205&lt;=L_Conversion!$D$125),"-",
IF(AND(M205="09",N205&gt;=L_Conversion!$C$126,N205&lt;=L_Conversion!$D$126),"-",
IF(AND(M205="10",N205&gt;=L_Conversion!$C$127,N205&lt;=L_Conversion!$D$127),"-",
IF(AND(M205="11",N205&gt;=L_Conversion!$C$128,N205&lt;=L_Conversion!$D$128),"-",
IF(AND(M205="12",N205&gt;=L_Conversion!$C$129,N205&lt;=L_Conversion!$D$129),"-",
IF(AND(M205="13",N205&gt;=L_Conversion!$C$116,N205&lt;=L_Conversion!$D$116),"-",
IF(AND(M205="14",N205&gt;=L_Conversion!$C$117,N205&lt;=L_Conversion!$D$117),"-",
"PRIMER_DIA fuera de rango")))))))))))))))</f>
        <v>-</v>
      </c>
      <c r="AS205" s="86" t="str">
        <f t="shared" si="94"/>
        <v>-</v>
      </c>
      <c r="AT205" s="86" t="str">
        <f t="shared" si="95"/>
        <v>-</v>
      </c>
      <c r="AU205" s="86" t="str">
        <f t="shared" si="96"/>
        <v>-</v>
      </c>
      <c r="AV205" s="86" t="str">
        <f t="shared" si="97"/>
        <v>-</v>
      </c>
      <c r="AW205" s="86" t="str">
        <f t="shared" si="98"/>
        <v>-</v>
      </c>
      <c r="AX205" s="86" t="str">
        <f t="shared" si="99"/>
        <v>-</v>
      </c>
      <c r="AY205" s="86" t="str">
        <f t="shared" si="100"/>
        <v>-</v>
      </c>
      <c r="AZ205" s="86" t="str">
        <f t="shared" si="101"/>
        <v>-</v>
      </c>
      <c r="BA205" s="86" t="str">
        <f t="shared" si="102"/>
        <v>-</v>
      </c>
      <c r="BB205" s="86" t="str">
        <f t="shared" si="103"/>
        <v>-</v>
      </c>
      <c r="BC205" s="86" t="str">
        <f t="shared" si="104"/>
        <v>-</v>
      </c>
      <c r="BD205" s="86" t="str">
        <f t="shared" si="105"/>
        <v>-</v>
      </c>
      <c r="BE205" s="86" t="str">
        <f t="shared" si="106"/>
        <v>-</v>
      </c>
      <c r="BF205" s="86" t="str">
        <f t="shared" si="107"/>
        <v>-</v>
      </c>
    </row>
    <row r="206" spans="1:58" x14ac:dyDescent="0.2">
      <c r="A206" s="19" t="s">
        <v>1144</v>
      </c>
      <c r="B206" s="19" t="s">
        <v>76</v>
      </c>
      <c r="C206" s="19">
        <v>17956353</v>
      </c>
      <c r="D206" s="81">
        <v>3</v>
      </c>
      <c r="E206" s="19" t="s">
        <v>1496</v>
      </c>
      <c r="F206" s="19" t="s">
        <v>1497</v>
      </c>
      <c r="G206" s="19" t="s">
        <v>1498</v>
      </c>
      <c r="H206" s="19" t="s">
        <v>1033</v>
      </c>
      <c r="I206" s="19" t="s">
        <v>662</v>
      </c>
      <c r="J206" s="19">
        <v>80</v>
      </c>
      <c r="K206" s="19" t="s">
        <v>567</v>
      </c>
      <c r="L206" s="19" t="s">
        <v>502</v>
      </c>
      <c r="M206" s="19" t="s">
        <v>21</v>
      </c>
      <c r="N206" s="19">
        <v>45708</v>
      </c>
      <c r="O206" s="19">
        <v>2</v>
      </c>
      <c r="P206" s="81">
        <v>1</v>
      </c>
      <c r="Q206" s="19" t="s">
        <v>23</v>
      </c>
      <c r="R206" s="19" t="s">
        <v>11</v>
      </c>
      <c r="S206" s="19" t="s">
        <v>23</v>
      </c>
      <c r="T206" s="19">
        <v>2</v>
      </c>
      <c r="U206" s="19" t="s">
        <v>11</v>
      </c>
      <c r="V206" s="19" t="s">
        <v>19</v>
      </c>
      <c r="W206" s="19" t="s">
        <v>19</v>
      </c>
      <c r="X206" s="19">
        <v>27591</v>
      </c>
      <c r="Y206" s="19" t="s">
        <v>735</v>
      </c>
      <c r="Z206" s="19">
        <v>2</v>
      </c>
      <c r="AA206" s="19">
        <v>27591</v>
      </c>
      <c r="AB206" s="19">
        <v>27591</v>
      </c>
      <c r="AC206" s="178" t="str">
        <f>IF(OR(M206="13",M206="14",P206=8),"",IF(AND(OR(S206="AUTORIZADO", S206="PENDIENTE", S206="REDUCIDO", S206="AMPLIADO"),L206&lt;&gt;"HONORARIO" ), CONCATENATE(IF(H206="X","H",H206),"_",IF(OR(P206=5,P206=6),_xlfn.CONCAT(P206,"A"),P206),"_",VLOOKUP(T206,Datos!$B$2:$C$5,2,TRUE)),""))</f>
        <v>M_1_[hasta 3]</v>
      </c>
      <c r="AD206" s="178">
        <f t="shared" si="81"/>
        <v>55182</v>
      </c>
      <c r="AE206" s="82" t="str">
        <f t="shared" si="82"/>
        <v>-</v>
      </c>
      <c r="AF206" s="83" t="str">
        <f t="shared" si="83"/>
        <v>070601</v>
      </c>
      <c r="AG206" s="84"/>
      <c r="AH206" s="85" t="str">
        <f t="shared" si="84"/>
        <v>Corporación de Fomento de la Producción</v>
      </c>
      <c r="AI206" s="82" t="str">
        <f t="shared" si="85"/>
        <v>-</v>
      </c>
      <c r="AJ206" s="82">
        <f t="shared" si="86"/>
        <v>3</v>
      </c>
      <c r="AK206" s="82" t="str">
        <f t="shared" si="87"/>
        <v>-</v>
      </c>
      <c r="AL206" s="82" t="str">
        <f t="shared" si="88"/>
        <v>Identifica este registro como MUJER</v>
      </c>
      <c r="AM206" s="82" t="str">
        <f t="shared" si="89"/>
        <v>-</v>
      </c>
      <c r="AN206" s="82" t="str">
        <f t="shared" si="90"/>
        <v>-</v>
      </c>
      <c r="AO206" s="82" t="str">
        <f t="shared" si="91"/>
        <v>-</v>
      </c>
      <c r="AP206" s="57" t="str">
        <f t="shared" si="92"/>
        <v>-</v>
      </c>
      <c r="AQ206" s="86" t="str">
        <f t="shared" si="93"/>
        <v>-</v>
      </c>
      <c r="AR206" s="86" t="str">
        <f>IF(N206="","PRIMER_DIA en blanco",
IF(AND(M206="01",N206&gt;=L_Conversion!$C$118,N206&lt;=L_Conversion!$D$118),"-",
IF(AND(M206="02",N206&gt;=L_Conversion!$C$119,N206&lt;=L_Conversion!$D$119),"-",
IF(AND(M206="03",N206&gt;=L_Conversion!$C$120,N206&lt;=L_Conversion!$D$120),"-",
IF(AND(M206="04",N206&gt;=L_Conversion!$C$121,N206&lt;=L_Conversion!$D$121),"-",
IF(AND(M206="05",N206&gt;=L_Conversion!$C$122,N206&lt;=L_Conversion!$D$122),"-",
IF(AND(M206="06",N206&gt;=L_Conversion!$C$123,N206&lt;=L_Conversion!$D$123),"-",
IF(AND(M206="07",N206&gt;=L_Conversion!$C$124,N206&lt;=L_Conversion!$D$124),"-",
IF(AND(M206="08",N206&gt;=L_Conversion!$C$125,N206&lt;=L_Conversion!$D$125),"-",
IF(AND(M206="09",N206&gt;=L_Conversion!$C$126,N206&lt;=L_Conversion!$D$126),"-",
IF(AND(M206="10",N206&gt;=L_Conversion!$C$127,N206&lt;=L_Conversion!$D$127),"-",
IF(AND(M206="11",N206&gt;=L_Conversion!$C$128,N206&lt;=L_Conversion!$D$128),"-",
IF(AND(M206="12",N206&gt;=L_Conversion!$C$129,N206&lt;=L_Conversion!$D$129),"-",
IF(AND(M206="13",N206&gt;=L_Conversion!$C$116,N206&lt;=L_Conversion!$D$116),"-",
IF(AND(M206="14",N206&gt;=L_Conversion!$C$117,N206&lt;=L_Conversion!$D$117),"-",
"PRIMER_DIA fuera de rango")))))))))))))))</f>
        <v>-</v>
      </c>
      <c r="AS206" s="86" t="str">
        <f t="shared" si="94"/>
        <v>-</v>
      </c>
      <c r="AT206" s="86" t="str">
        <f t="shared" si="95"/>
        <v>-</v>
      </c>
      <c r="AU206" s="86" t="str">
        <f t="shared" si="96"/>
        <v>-</v>
      </c>
      <c r="AV206" s="86" t="str">
        <f t="shared" si="97"/>
        <v>-</v>
      </c>
      <c r="AW206" s="86" t="str">
        <f t="shared" si="98"/>
        <v>-</v>
      </c>
      <c r="AX206" s="86" t="str">
        <f t="shared" si="99"/>
        <v>-</v>
      </c>
      <c r="AY206" s="86" t="str">
        <f t="shared" si="100"/>
        <v>-</v>
      </c>
      <c r="AZ206" s="86" t="str">
        <f t="shared" si="101"/>
        <v>-</v>
      </c>
      <c r="BA206" s="86" t="str">
        <f t="shared" si="102"/>
        <v>-</v>
      </c>
      <c r="BB206" s="86" t="str">
        <f t="shared" si="103"/>
        <v>-</v>
      </c>
      <c r="BC206" s="86" t="str">
        <f t="shared" si="104"/>
        <v>-</v>
      </c>
      <c r="BD206" s="86" t="str">
        <f t="shared" si="105"/>
        <v>-</v>
      </c>
      <c r="BE206" s="86" t="str">
        <f t="shared" si="106"/>
        <v>-</v>
      </c>
      <c r="BF206" s="86" t="str">
        <f t="shared" si="107"/>
        <v>-</v>
      </c>
    </row>
    <row r="207" spans="1:58" x14ac:dyDescent="0.2">
      <c r="A207" s="19" t="s">
        <v>1144</v>
      </c>
      <c r="B207" s="19" t="s">
        <v>76</v>
      </c>
      <c r="C207" s="19">
        <v>18795825</v>
      </c>
      <c r="D207" s="81">
        <v>3</v>
      </c>
      <c r="E207" s="19" t="s">
        <v>1235</v>
      </c>
      <c r="F207" s="19" t="s">
        <v>1294</v>
      </c>
      <c r="G207" s="19" t="s">
        <v>1295</v>
      </c>
      <c r="H207" s="19" t="s">
        <v>663</v>
      </c>
      <c r="I207" s="19" t="s">
        <v>663</v>
      </c>
      <c r="J207" s="19">
        <v>80</v>
      </c>
      <c r="K207" s="19" t="s">
        <v>567</v>
      </c>
      <c r="L207" s="19" t="s">
        <v>519</v>
      </c>
      <c r="M207" s="19" t="s">
        <v>21</v>
      </c>
      <c r="N207" s="19">
        <v>45709</v>
      </c>
      <c r="O207" s="19">
        <v>30</v>
      </c>
      <c r="P207" s="81">
        <v>1</v>
      </c>
      <c r="Q207" s="19" t="s">
        <v>23</v>
      </c>
      <c r="R207" s="19" t="s">
        <v>11</v>
      </c>
      <c r="S207" s="19" t="s">
        <v>23</v>
      </c>
      <c r="T207" s="19">
        <v>30</v>
      </c>
      <c r="U207" s="19" t="s">
        <v>11</v>
      </c>
      <c r="V207" s="19" t="s">
        <v>11</v>
      </c>
      <c r="W207" s="19" t="s">
        <v>19</v>
      </c>
      <c r="X207" s="19">
        <v>1133274</v>
      </c>
      <c r="Y207" s="19" t="s">
        <v>735</v>
      </c>
      <c r="Z207" s="19">
        <v>30</v>
      </c>
      <c r="AA207" s="19">
        <v>1133274</v>
      </c>
      <c r="AB207" s="19">
        <v>1133274</v>
      </c>
      <c r="AC207" s="178" t="str">
        <f>IF(OR(M207="13",M207="14",P207=8),"",IF(AND(OR(S207="AUTORIZADO", S207="PENDIENTE", S207="REDUCIDO", S207="AMPLIADO"),L207&lt;&gt;"HONORARIO" ), CONCATENATE(IF(H207="X","H",H207),"_",IF(OR(P207=5,P207=6),_xlfn.CONCAT(P207,"A"),P207),"_",VLOOKUP(T207,Datos!$B$2:$C$5,2,TRUE)),""))</f>
        <v>H_1_[11 +]</v>
      </c>
      <c r="AD207" s="178">
        <f t="shared" si="81"/>
        <v>2266548</v>
      </c>
      <c r="AE207" s="82" t="str">
        <f t="shared" si="82"/>
        <v>-</v>
      </c>
      <c r="AF207" s="83" t="str">
        <f t="shared" si="83"/>
        <v>070601</v>
      </c>
      <c r="AG207" s="84"/>
      <c r="AH207" s="85" t="str">
        <f t="shared" si="84"/>
        <v>Corporación de Fomento de la Producción</v>
      </c>
      <c r="AI207" s="82" t="str">
        <f t="shared" si="85"/>
        <v>-</v>
      </c>
      <c r="AJ207" s="82">
        <f t="shared" si="86"/>
        <v>3</v>
      </c>
      <c r="AK207" s="82" t="str">
        <f t="shared" si="87"/>
        <v>-</v>
      </c>
      <c r="AL207" s="82" t="str">
        <f t="shared" si="88"/>
        <v>Identifica este registro como HOMBRE</v>
      </c>
      <c r="AM207" s="82" t="str">
        <f t="shared" si="89"/>
        <v>-</v>
      </c>
      <c r="AN207" s="82" t="str">
        <f t="shared" si="90"/>
        <v>-</v>
      </c>
      <c r="AO207" s="82" t="str">
        <f t="shared" si="91"/>
        <v>-</v>
      </c>
      <c r="AP207" s="57" t="str">
        <f t="shared" si="92"/>
        <v>-</v>
      </c>
      <c r="AQ207" s="86" t="str">
        <f t="shared" si="93"/>
        <v>-</v>
      </c>
      <c r="AR207" s="86" t="str">
        <f>IF(N207="","PRIMER_DIA en blanco",
IF(AND(M207="01",N207&gt;=L_Conversion!$C$118,N207&lt;=L_Conversion!$D$118),"-",
IF(AND(M207="02",N207&gt;=L_Conversion!$C$119,N207&lt;=L_Conversion!$D$119),"-",
IF(AND(M207="03",N207&gt;=L_Conversion!$C$120,N207&lt;=L_Conversion!$D$120),"-",
IF(AND(M207="04",N207&gt;=L_Conversion!$C$121,N207&lt;=L_Conversion!$D$121),"-",
IF(AND(M207="05",N207&gt;=L_Conversion!$C$122,N207&lt;=L_Conversion!$D$122),"-",
IF(AND(M207="06",N207&gt;=L_Conversion!$C$123,N207&lt;=L_Conversion!$D$123),"-",
IF(AND(M207="07",N207&gt;=L_Conversion!$C$124,N207&lt;=L_Conversion!$D$124),"-",
IF(AND(M207="08",N207&gt;=L_Conversion!$C$125,N207&lt;=L_Conversion!$D$125),"-",
IF(AND(M207="09",N207&gt;=L_Conversion!$C$126,N207&lt;=L_Conversion!$D$126),"-",
IF(AND(M207="10",N207&gt;=L_Conversion!$C$127,N207&lt;=L_Conversion!$D$127),"-",
IF(AND(M207="11",N207&gt;=L_Conversion!$C$128,N207&lt;=L_Conversion!$D$128),"-",
IF(AND(M207="12",N207&gt;=L_Conversion!$C$129,N207&lt;=L_Conversion!$D$129),"-",
IF(AND(M207="13",N207&gt;=L_Conversion!$C$116,N207&lt;=L_Conversion!$D$116),"-",
IF(AND(M207="14",N207&gt;=L_Conversion!$C$117,N207&lt;=L_Conversion!$D$117),"-",
"PRIMER_DIA fuera de rango")))))))))))))))</f>
        <v>-</v>
      </c>
      <c r="AS207" s="86" t="str">
        <f t="shared" si="94"/>
        <v>-</v>
      </c>
      <c r="AT207" s="86" t="str">
        <f t="shared" si="95"/>
        <v>-</v>
      </c>
      <c r="AU207" s="86" t="str">
        <f t="shared" si="96"/>
        <v>-</v>
      </c>
      <c r="AV207" s="86" t="str">
        <f t="shared" si="97"/>
        <v>-</v>
      </c>
      <c r="AW207" s="86" t="str">
        <f t="shared" si="98"/>
        <v>-</v>
      </c>
      <c r="AX207" s="86" t="str">
        <f t="shared" si="99"/>
        <v>-</v>
      </c>
      <c r="AY207" s="86" t="str">
        <f t="shared" si="100"/>
        <v>-</v>
      </c>
      <c r="AZ207" s="86" t="str">
        <f t="shared" si="101"/>
        <v>-</v>
      </c>
      <c r="BA207" s="86" t="str">
        <f t="shared" si="102"/>
        <v>-</v>
      </c>
      <c r="BB207" s="86" t="str">
        <f t="shared" si="103"/>
        <v>-</v>
      </c>
      <c r="BC207" s="86" t="str">
        <f t="shared" si="104"/>
        <v>-</v>
      </c>
      <c r="BD207" s="86" t="str">
        <f t="shared" si="105"/>
        <v>-</v>
      </c>
      <c r="BE207" s="86" t="str">
        <f t="shared" si="106"/>
        <v>-</v>
      </c>
      <c r="BF207" s="86" t="str">
        <f t="shared" si="107"/>
        <v>-</v>
      </c>
    </row>
    <row r="208" spans="1:58" x14ac:dyDescent="0.2">
      <c r="A208" s="19" t="s">
        <v>1144</v>
      </c>
      <c r="B208" s="19" t="s">
        <v>76</v>
      </c>
      <c r="C208" s="19">
        <v>19740981</v>
      </c>
      <c r="D208" s="81">
        <v>9</v>
      </c>
      <c r="E208" s="19" t="s">
        <v>1513</v>
      </c>
      <c r="F208" s="19" t="s">
        <v>1438</v>
      </c>
      <c r="G208" s="19" t="s">
        <v>1514</v>
      </c>
      <c r="H208" s="19" t="s">
        <v>1033</v>
      </c>
      <c r="I208" s="19" t="s">
        <v>663</v>
      </c>
      <c r="J208" s="19">
        <v>80</v>
      </c>
      <c r="K208" s="19" t="s">
        <v>563</v>
      </c>
      <c r="L208" s="19" t="s">
        <v>516</v>
      </c>
      <c r="M208" s="19" t="s">
        <v>21</v>
      </c>
      <c r="N208" s="19">
        <v>45709</v>
      </c>
      <c r="O208" s="19">
        <v>1</v>
      </c>
      <c r="P208" s="81">
        <v>1</v>
      </c>
      <c r="Q208" s="19" t="s">
        <v>23</v>
      </c>
      <c r="R208" s="19" t="s">
        <v>11</v>
      </c>
      <c r="S208" s="19" t="s">
        <v>23</v>
      </c>
      <c r="T208" s="19">
        <v>1</v>
      </c>
      <c r="U208" s="19" t="s">
        <v>11</v>
      </c>
      <c r="V208" s="19" t="s">
        <v>19</v>
      </c>
      <c r="W208" s="19" t="s">
        <v>19</v>
      </c>
      <c r="X208" s="19">
        <v>191</v>
      </c>
      <c r="Y208" s="19" t="s">
        <v>735</v>
      </c>
      <c r="Z208" s="19">
        <v>1</v>
      </c>
      <c r="AA208" s="19">
        <v>191</v>
      </c>
      <c r="AB208" s="19">
        <v>191</v>
      </c>
      <c r="AC208" s="178" t="str">
        <f>IF(OR(M208="13",M208="14",P208=8),"",IF(AND(OR(S208="AUTORIZADO", S208="PENDIENTE", S208="REDUCIDO", S208="AMPLIADO"),L208&lt;&gt;"HONORARIO" ), CONCATENATE(IF(H208="X","H",H208),"_",IF(OR(P208=5,P208=6),_xlfn.CONCAT(P208,"A"),P208),"_",VLOOKUP(T208,Datos!$B$2:$C$5,2,TRUE)),""))</f>
        <v>M_1_[hasta 3]</v>
      </c>
      <c r="AD208" s="178">
        <f t="shared" si="81"/>
        <v>382</v>
      </c>
      <c r="AE208" s="82" t="str">
        <f t="shared" si="82"/>
        <v>-</v>
      </c>
      <c r="AF208" s="83" t="str">
        <f t="shared" si="83"/>
        <v>070601</v>
      </c>
      <c r="AG208" s="84"/>
      <c r="AH208" s="85" t="str">
        <f t="shared" si="84"/>
        <v>Corporación de Fomento de la Producción</v>
      </c>
      <c r="AI208" s="82" t="str">
        <f t="shared" si="85"/>
        <v>-</v>
      </c>
      <c r="AJ208" s="82">
        <f t="shared" si="86"/>
        <v>9</v>
      </c>
      <c r="AK208" s="82" t="str">
        <f t="shared" si="87"/>
        <v>-</v>
      </c>
      <c r="AL208" s="82" t="str">
        <f t="shared" si="88"/>
        <v>Identifica este registro como MUJER</v>
      </c>
      <c r="AM208" s="82" t="str">
        <f t="shared" si="89"/>
        <v>-</v>
      </c>
      <c r="AN208" s="82" t="str">
        <f t="shared" si="90"/>
        <v>-</v>
      </c>
      <c r="AO208" s="82" t="str">
        <f t="shared" si="91"/>
        <v>-</v>
      </c>
      <c r="AP208" s="57" t="str">
        <f t="shared" si="92"/>
        <v>-</v>
      </c>
      <c r="AQ208" s="86" t="str">
        <f t="shared" si="93"/>
        <v>-</v>
      </c>
      <c r="AR208" s="86" t="str">
        <f>IF(N208="","PRIMER_DIA en blanco",
IF(AND(M208="01",N208&gt;=L_Conversion!$C$118,N208&lt;=L_Conversion!$D$118),"-",
IF(AND(M208="02",N208&gt;=L_Conversion!$C$119,N208&lt;=L_Conversion!$D$119),"-",
IF(AND(M208="03",N208&gt;=L_Conversion!$C$120,N208&lt;=L_Conversion!$D$120),"-",
IF(AND(M208="04",N208&gt;=L_Conversion!$C$121,N208&lt;=L_Conversion!$D$121),"-",
IF(AND(M208="05",N208&gt;=L_Conversion!$C$122,N208&lt;=L_Conversion!$D$122),"-",
IF(AND(M208="06",N208&gt;=L_Conversion!$C$123,N208&lt;=L_Conversion!$D$123),"-",
IF(AND(M208="07",N208&gt;=L_Conversion!$C$124,N208&lt;=L_Conversion!$D$124),"-",
IF(AND(M208="08",N208&gt;=L_Conversion!$C$125,N208&lt;=L_Conversion!$D$125),"-",
IF(AND(M208="09",N208&gt;=L_Conversion!$C$126,N208&lt;=L_Conversion!$D$126),"-",
IF(AND(M208="10",N208&gt;=L_Conversion!$C$127,N208&lt;=L_Conversion!$D$127),"-",
IF(AND(M208="11",N208&gt;=L_Conversion!$C$128,N208&lt;=L_Conversion!$D$128),"-",
IF(AND(M208="12",N208&gt;=L_Conversion!$C$129,N208&lt;=L_Conversion!$D$129),"-",
IF(AND(M208="13",N208&gt;=L_Conversion!$C$116,N208&lt;=L_Conversion!$D$116),"-",
IF(AND(M208="14",N208&gt;=L_Conversion!$C$117,N208&lt;=L_Conversion!$D$117),"-",
"PRIMER_DIA fuera de rango")))))))))))))))</f>
        <v>-</v>
      </c>
      <c r="AS208" s="86" t="str">
        <f t="shared" si="94"/>
        <v>-</v>
      </c>
      <c r="AT208" s="86" t="str">
        <f t="shared" si="95"/>
        <v>-</v>
      </c>
      <c r="AU208" s="86" t="str">
        <f t="shared" si="96"/>
        <v>-</v>
      </c>
      <c r="AV208" s="86" t="str">
        <f t="shared" si="97"/>
        <v>-</v>
      </c>
      <c r="AW208" s="86" t="str">
        <f t="shared" si="98"/>
        <v>-</v>
      </c>
      <c r="AX208" s="86" t="str">
        <f t="shared" si="99"/>
        <v>-</v>
      </c>
      <c r="AY208" s="86" t="str">
        <f t="shared" si="100"/>
        <v>-</v>
      </c>
      <c r="AZ208" s="86" t="str">
        <f t="shared" si="101"/>
        <v>-</v>
      </c>
      <c r="BA208" s="86" t="str">
        <f t="shared" si="102"/>
        <v>-</v>
      </c>
      <c r="BB208" s="86" t="str">
        <f t="shared" si="103"/>
        <v>-</v>
      </c>
      <c r="BC208" s="86" t="str">
        <f t="shared" si="104"/>
        <v>-</v>
      </c>
      <c r="BD208" s="86" t="str">
        <f t="shared" si="105"/>
        <v>-</v>
      </c>
      <c r="BE208" s="86" t="str">
        <f t="shared" si="106"/>
        <v>-</v>
      </c>
      <c r="BF208" s="86" t="str">
        <f t="shared" si="107"/>
        <v>-</v>
      </c>
    </row>
    <row r="209" spans="1:58" x14ac:dyDescent="0.2">
      <c r="A209" s="19" t="s">
        <v>1144</v>
      </c>
      <c r="B209" s="19" t="s">
        <v>76</v>
      </c>
      <c r="C209" s="19">
        <v>18303226</v>
      </c>
      <c r="D209" s="81">
        <v>7</v>
      </c>
      <c r="E209" s="19" t="s">
        <v>1391</v>
      </c>
      <c r="F209" s="19" t="s">
        <v>1392</v>
      </c>
      <c r="G209" s="19" t="s">
        <v>1186</v>
      </c>
      <c r="H209" s="19" t="s">
        <v>1033</v>
      </c>
      <c r="I209" s="19" t="s">
        <v>662</v>
      </c>
      <c r="J209" s="19">
        <v>80</v>
      </c>
      <c r="K209" s="19" t="s">
        <v>567</v>
      </c>
      <c r="L209" s="19" t="s">
        <v>502</v>
      </c>
      <c r="M209" s="19" t="s">
        <v>21</v>
      </c>
      <c r="N209" s="19">
        <v>45710</v>
      </c>
      <c r="O209" s="19">
        <v>14</v>
      </c>
      <c r="P209" s="81">
        <v>1</v>
      </c>
      <c r="Q209" s="19" t="s">
        <v>23</v>
      </c>
      <c r="R209" s="19" t="s">
        <v>11</v>
      </c>
      <c r="S209" s="19" t="s">
        <v>23</v>
      </c>
      <c r="T209" s="19">
        <v>14</v>
      </c>
      <c r="U209" s="19" t="s">
        <v>11</v>
      </c>
      <c r="V209" s="19" t="s">
        <v>11</v>
      </c>
      <c r="W209" s="19" t="s">
        <v>19</v>
      </c>
      <c r="X209" s="19">
        <v>1105021</v>
      </c>
      <c r="Y209" s="19" t="s">
        <v>735</v>
      </c>
      <c r="Z209" s="19">
        <v>14</v>
      </c>
      <c r="AA209" s="19">
        <v>1105021</v>
      </c>
      <c r="AB209" s="19">
        <v>1105021</v>
      </c>
      <c r="AC209" s="178" t="str">
        <f>IF(OR(M209="13",M209="14",P209=8),"",IF(AND(OR(S209="AUTORIZADO", S209="PENDIENTE", S209="REDUCIDO", S209="AMPLIADO"),L209&lt;&gt;"HONORARIO" ), CONCATENATE(IF(H209="X","H",H209),"_",IF(OR(P209=5,P209=6),_xlfn.CONCAT(P209,"A"),P209),"_",VLOOKUP(T209,Datos!$B$2:$C$5,2,TRUE)),""))</f>
        <v>M_1_[11 +]</v>
      </c>
      <c r="AD209" s="178">
        <f t="shared" si="81"/>
        <v>2210042</v>
      </c>
      <c r="AE209" s="82" t="str">
        <f t="shared" si="82"/>
        <v>-</v>
      </c>
      <c r="AF209" s="83" t="str">
        <f t="shared" si="83"/>
        <v>070601</v>
      </c>
      <c r="AG209" s="84"/>
      <c r="AH209" s="85" t="str">
        <f t="shared" si="84"/>
        <v>Corporación de Fomento de la Producción</v>
      </c>
      <c r="AI209" s="82" t="str">
        <f t="shared" si="85"/>
        <v>-</v>
      </c>
      <c r="AJ209" s="82">
        <f t="shared" si="86"/>
        <v>7</v>
      </c>
      <c r="AK209" s="82" t="str">
        <f t="shared" si="87"/>
        <v>-</v>
      </c>
      <c r="AL209" s="82" t="str">
        <f t="shared" si="88"/>
        <v>Identifica este registro como MUJER</v>
      </c>
      <c r="AM209" s="82" t="str">
        <f t="shared" si="89"/>
        <v>-</v>
      </c>
      <c r="AN209" s="82" t="str">
        <f t="shared" si="90"/>
        <v>-</v>
      </c>
      <c r="AO209" s="82" t="str">
        <f t="shared" si="91"/>
        <v>-</v>
      </c>
      <c r="AP209" s="57" t="str">
        <f t="shared" si="92"/>
        <v>-</v>
      </c>
      <c r="AQ209" s="86" t="str">
        <f t="shared" si="93"/>
        <v>-</v>
      </c>
      <c r="AR209" s="86" t="str">
        <f>IF(N209="","PRIMER_DIA en blanco",
IF(AND(M209="01",N209&gt;=L_Conversion!$C$118,N209&lt;=L_Conversion!$D$118),"-",
IF(AND(M209="02",N209&gt;=L_Conversion!$C$119,N209&lt;=L_Conversion!$D$119),"-",
IF(AND(M209="03",N209&gt;=L_Conversion!$C$120,N209&lt;=L_Conversion!$D$120),"-",
IF(AND(M209="04",N209&gt;=L_Conversion!$C$121,N209&lt;=L_Conversion!$D$121),"-",
IF(AND(M209="05",N209&gt;=L_Conversion!$C$122,N209&lt;=L_Conversion!$D$122),"-",
IF(AND(M209="06",N209&gt;=L_Conversion!$C$123,N209&lt;=L_Conversion!$D$123),"-",
IF(AND(M209="07",N209&gt;=L_Conversion!$C$124,N209&lt;=L_Conversion!$D$124),"-",
IF(AND(M209="08",N209&gt;=L_Conversion!$C$125,N209&lt;=L_Conversion!$D$125),"-",
IF(AND(M209="09",N209&gt;=L_Conversion!$C$126,N209&lt;=L_Conversion!$D$126),"-",
IF(AND(M209="10",N209&gt;=L_Conversion!$C$127,N209&lt;=L_Conversion!$D$127),"-",
IF(AND(M209="11",N209&gt;=L_Conversion!$C$128,N209&lt;=L_Conversion!$D$128),"-",
IF(AND(M209="12",N209&gt;=L_Conversion!$C$129,N209&lt;=L_Conversion!$D$129),"-",
IF(AND(M209="13",N209&gt;=L_Conversion!$C$116,N209&lt;=L_Conversion!$D$116),"-",
IF(AND(M209="14",N209&gt;=L_Conversion!$C$117,N209&lt;=L_Conversion!$D$117),"-",
"PRIMER_DIA fuera de rango")))))))))))))))</f>
        <v>-</v>
      </c>
      <c r="AS209" s="86" t="str">
        <f t="shared" si="94"/>
        <v>-</v>
      </c>
      <c r="AT209" s="86" t="str">
        <f t="shared" si="95"/>
        <v>-</v>
      </c>
      <c r="AU209" s="86" t="str">
        <f t="shared" si="96"/>
        <v>-</v>
      </c>
      <c r="AV209" s="86" t="str">
        <f t="shared" si="97"/>
        <v>-</v>
      </c>
      <c r="AW209" s="86" t="str">
        <f t="shared" si="98"/>
        <v>-</v>
      </c>
      <c r="AX209" s="86" t="str">
        <f t="shared" si="99"/>
        <v>-</v>
      </c>
      <c r="AY209" s="86" t="str">
        <f t="shared" si="100"/>
        <v>-</v>
      </c>
      <c r="AZ209" s="86" t="str">
        <f t="shared" si="101"/>
        <v>-</v>
      </c>
      <c r="BA209" s="86" t="str">
        <f t="shared" si="102"/>
        <v>-</v>
      </c>
      <c r="BB209" s="86" t="str">
        <f t="shared" si="103"/>
        <v>-</v>
      </c>
      <c r="BC209" s="86" t="str">
        <f t="shared" si="104"/>
        <v>-</v>
      </c>
      <c r="BD209" s="86" t="str">
        <f t="shared" si="105"/>
        <v>-</v>
      </c>
      <c r="BE209" s="86" t="str">
        <f t="shared" si="106"/>
        <v>-</v>
      </c>
      <c r="BF209" s="86" t="str">
        <f t="shared" si="107"/>
        <v>-</v>
      </c>
    </row>
    <row r="210" spans="1:58" x14ac:dyDescent="0.2">
      <c r="A210" s="19" t="s">
        <v>1144</v>
      </c>
      <c r="B210" s="19" t="s">
        <v>76</v>
      </c>
      <c r="C210" s="19">
        <v>13450578</v>
      </c>
      <c r="D210" s="81">
        <v>8</v>
      </c>
      <c r="E210" s="19" t="s">
        <v>1393</v>
      </c>
      <c r="F210" s="19" t="s">
        <v>1394</v>
      </c>
      <c r="G210" s="19" t="s">
        <v>1299</v>
      </c>
      <c r="H210" s="19" t="s">
        <v>1033</v>
      </c>
      <c r="I210" s="19" t="s">
        <v>662</v>
      </c>
      <c r="J210" s="19">
        <v>80</v>
      </c>
      <c r="K210" s="19" t="s">
        <v>567</v>
      </c>
      <c r="L210" s="19" t="s">
        <v>502</v>
      </c>
      <c r="M210" s="19" t="s">
        <v>21</v>
      </c>
      <c r="N210" s="19">
        <v>45711</v>
      </c>
      <c r="O210" s="19">
        <v>30</v>
      </c>
      <c r="P210" s="81">
        <v>1</v>
      </c>
      <c r="Q210" s="19" t="s">
        <v>23</v>
      </c>
      <c r="R210" s="19" t="s">
        <v>11</v>
      </c>
      <c r="S210" s="19" t="s">
        <v>23</v>
      </c>
      <c r="T210" s="19">
        <v>30</v>
      </c>
      <c r="U210" s="19" t="s">
        <v>11</v>
      </c>
      <c r="V210" s="19" t="s">
        <v>11</v>
      </c>
      <c r="W210" s="19" t="s">
        <v>19</v>
      </c>
      <c r="X210" s="19">
        <v>876390</v>
      </c>
      <c r="Y210" s="19" t="s">
        <v>735</v>
      </c>
      <c r="Z210" s="19">
        <v>30</v>
      </c>
      <c r="AA210" s="19">
        <v>876390</v>
      </c>
      <c r="AB210" s="19">
        <v>876390</v>
      </c>
      <c r="AC210" s="178" t="str">
        <f>IF(OR(M210="13",M210="14",P210=8),"",IF(AND(OR(S210="AUTORIZADO", S210="PENDIENTE", S210="REDUCIDO", S210="AMPLIADO"),L210&lt;&gt;"HONORARIO" ), CONCATENATE(IF(H210="X","H",H210),"_",IF(OR(P210=5,P210=6),_xlfn.CONCAT(P210,"A"),P210),"_",VLOOKUP(T210,Datos!$B$2:$C$5,2,TRUE)),""))</f>
        <v>M_1_[11 +]</v>
      </c>
      <c r="AD210" s="178">
        <f t="shared" si="81"/>
        <v>1752780</v>
      </c>
      <c r="AE210" s="82" t="str">
        <f t="shared" si="82"/>
        <v>-</v>
      </c>
      <c r="AF210" s="83" t="str">
        <f t="shared" si="83"/>
        <v>070601</v>
      </c>
      <c r="AG210" s="84"/>
      <c r="AH210" s="85" t="str">
        <f t="shared" si="84"/>
        <v>Corporación de Fomento de la Producción</v>
      </c>
      <c r="AI210" s="82" t="str">
        <f t="shared" si="85"/>
        <v>-</v>
      </c>
      <c r="AJ210" s="82">
        <f t="shared" si="86"/>
        <v>8</v>
      </c>
      <c r="AK210" s="82" t="str">
        <f t="shared" si="87"/>
        <v>-</v>
      </c>
      <c r="AL210" s="82" t="str">
        <f t="shared" si="88"/>
        <v>Identifica este registro como MUJER</v>
      </c>
      <c r="AM210" s="82" t="str">
        <f t="shared" si="89"/>
        <v>-</v>
      </c>
      <c r="AN210" s="82" t="str">
        <f t="shared" si="90"/>
        <v>-</v>
      </c>
      <c r="AO210" s="82" t="str">
        <f t="shared" si="91"/>
        <v>-</v>
      </c>
      <c r="AP210" s="57" t="str">
        <f t="shared" si="92"/>
        <v>-</v>
      </c>
      <c r="AQ210" s="86" t="str">
        <f t="shared" si="93"/>
        <v>-</v>
      </c>
      <c r="AR210" s="86" t="str">
        <f>IF(N210="","PRIMER_DIA en blanco",
IF(AND(M210="01",N210&gt;=L_Conversion!$C$118,N210&lt;=L_Conversion!$D$118),"-",
IF(AND(M210="02",N210&gt;=L_Conversion!$C$119,N210&lt;=L_Conversion!$D$119),"-",
IF(AND(M210="03",N210&gt;=L_Conversion!$C$120,N210&lt;=L_Conversion!$D$120),"-",
IF(AND(M210="04",N210&gt;=L_Conversion!$C$121,N210&lt;=L_Conversion!$D$121),"-",
IF(AND(M210="05",N210&gt;=L_Conversion!$C$122,N210&lt;=L_Conversion!$D$122),"-",
IF(AND(M210="06",N210&gt;=L_Conversion!$C$123,N210&lt;=L_Conversion!$D$123),"-",
IF(AND(M210="07",N210&gt;=L_Conversion!$C$124,N210&lt;=L_Conversion!$D$124),"-",
IF(AND(M210="08",N210&gt;=L_Conversion!$C$125,N210&lt;=L_Conversion!$D$125),"-",
IF(AND(M210="09",N210&gt;=L_Conversion!$C$126,N210&lt;=L_Conversion!$D$126),"-",
IF(AND(M210="10",N210&gt;=L_Conversion!$C$127,N210&lt;=L_Conversion!$D$127),"-",
IF(AND(M210="11",N210&gt;=L_Conversion!$C$128,N210&lt;=L_Conversion!$D$128),"-",
IF(AND(M210="12",N210&gt;=L_Conversion!$C$129,N210&lt;=L_Conversion!$D$129),"-",
IF(AND(M210="13",N210&gt;=L_Conversion!$C$116,N210&lt;=L_Conversion!$D$116),"-",
IF(AND(M210="14",N210&gt;=L_Conversion!$C$117,N210&lt;=L_Conversion!$D$117),"-",
"PRIMER_DIA fuera de rango")))))))))))))))</f>
        <v>-</v>
      </c>
      <c r="AS210" s="86" t="str">
        <f t="shared" si="94"/>
        <v>-</v>
      </c>
      <c r="AT210" s="86" t="str">
        <f t="shared" si="95"/>
        <v>-</v>
      </c>
      <c r="AU210" s="86" t="str">
        <f t="shared" si="96"/>
        <v>-</v>
      </c>
      <c r="AV210" s="86" t="str">
        <f t="shared" si="97"/>
        <v>-</v>
      </c>
      <c r="AW210" s="86" t="str">
        <f t="shared" si="98"/>
        <v>-</v>
      </c>
      <c r="AX210" s="86" t="str">
        <f t="shared" si="99"/>
        <v>-</v>
      </c>
      <c r="AY210" s="86" t="str">
        <f t="shared" si="100"/>
        <v>-</v>
      </c>
      <c r="AZ210" s="86" t="str">
        <f t="shared" si="101"/>
        <v>-</v>
      </c>
      <c r="BA210" s="86" t="str">
        <f t="shared" si="102"/>
        <v>-</v>
      </c>
      <c r="BB210" s="86" t="str">
        <f t="shared" si="103"/>
        <v>-</v>
      </c>
      <c r="BC210" s="86" t="str">
        <f t="shared" si="104"/>
        <v>-</v>
      </c>
      <c r="BD210" s="86" t="str">
        <f t="shared" si="105"/>
        <v>-</v>
      </c>
      <c r="BE210" s="86" t="str">
        <f t="shared" si="106"/>
        <v>-</v>
      </c>
      <c r="BF210" s="86" t="str">
        <f t="shared" si="107"/>
        <v>-</v>
      </c>
    </row>
    <row r="211" spans="1:58" x14ac:dyDescent="0.2">
      <c r="A211" s="19" t="s">
        <v>1144</v>
      </c>
      <c r="B211" s="19" t="s">
        <v>76</v>
      </c>
      <c r="C211" s="19">
        <v>15893962</v>
      </c>
      <c r="D211" s="81">
        <v>2</v>
      </c>
      <c r="E211" s="19" t="s">
        <v>1264</v>
      </c>
      <c r="F211" s="19" t="s">
        <v>1393</v>
      </c>
      <c r="G211" s="19" t="s">
        <v>1411</v>
      </c>
      <c r="H211" s="19" t="s">
        <v>1033</v>
      </c>
      <c r="I211" s="19" t="s">
        <v>662</v>
      </c>
      <c r="J211" s="19">
        <v>80</v>
      </c>
      <c r="K211" s="19" t="s">
        <v>567</v>
      </c>
      <c r="L211" s="19" t="s">
        <v>502</v>
      </c>
      <c r="M211" s="19" t="s">
        <v>21</v>
      </c>
      <c r="N211" s="19">
        <v>45711</v>
      </c>
      <c r="O211" s="19">
        <v>84</v>
      </c>
      <c r="P211" s="81">
        <v>3</v>
      </c>
      <c r="Q211" s="19" t="s">
        <v>23</v>
      </c>
      <c r="R211" s="19" t="s">
        <v>11</v>
      </c>
      <c r="S211" s="19" t="s">
        <v>23</v>
      </c>
      <c r="T211" s="19">
        <v>84</v>
      </c>
      <c r="U211" s="19" t="s">
        <v>11</v>
      </c>
      <c r="V211" s="19" t="s">
        <v>11</v>
      </c>
      <c r="W211" s="19" t="s">
        <v>19</v>
      </c>
      <c r="X211" s="19">
        <v>8109410</v>
      </c>
      <c r="Y211" s="19" t="s">
        <v>735</v>
      </c>
      <c r="Z211" s="19">
        <v>84</v>
      </c>
      <c r="AA211" s="19">
        <v>8109410</v>
      </c>
      <c r="AB211" s="19">
        <v>8109410</v>
      </c>
      <c r="AC211" s="178" t="str">
        <f>IF(OR(M211="13",M211="14",P211=8),"",IF(AND(OR(S211="AUTORIZADO", S211="PENDIENTE", S211="REDUCIDO", S211="AMPLIADO"),L211&lt;&gt;"HONORARIO" ), CONCATENATE(IF(H211="X","H",H211),"_",IF(OR(P211=5,P211=6),_xlfn.CONCAT(P211,"A"),P211),"_",VLOOKUP(T211,Datos!$B$2:$C$5,2,TRUE)),""))</f>
        <v>M_3_[11 +]</v>
      </c>
      <c r="AD211" s="178">
        <f t="shared" si="81"/>
        <v>16218820</v>
      </c>
      <c r="AE211" s="82" t="str">
        <f t="shared" si="82"/>
        <v>-</v>
      </c>
      <c r="AF211" s="83" t="str">
        <f t="shared" si="83"/>
        <v>070601</v>
      </c>
      <c r="AG211" s="84"/>
      <c r="AH211" s="85" t="str">
        <f t="shared" si="84"/>
        <v>Corporación de Fomento de la Producción</v>
      </c>
      <c r="AI211" s="82" t="str">
        <f t="shared" si="85"/>
        <v>-</v>
      </c>
      <c r="AJ211" s="82">
        <f t="shared" si="86"/>
        <v>2</v>
      </c>
      <c r="AK211" s="82" t="str">
        <f t="shared" si="87"/>
        <v>-</v>
      </c>
      <c r="AL211" s="82" t="str">
        <f t="shared" si="88"/>
        <v>Identifica este registro como MUJER</v>
      </c>
      <c r="AM211" s="82" t="str">
        <f t="shared" si="89"/>
        <v>-</v>
      </c>
      <c r="AN211" s="82" t="str">
        <f t="shared" si="90"/>
        <v>-</v>
      </c>
      <c r="AO211" s="82" t="str">
        <f t="shared" si="91"/>
        <v>-</v>
      </c>
      <c r="AP211" s="57" t="str">
        <f t="shared" si="92"/>
        <v>-</v>
      </c>
      <c r="AQ211" s="86" t="str">
        <f t="shared" si="93"/>
        <v>-</v>
      </c>
      <c r="AR211" s="86" t="str">
        <f>IF(N211="","PRIMER_DIA en blanco",
IF(AND(M211="01",N211&gt;=L_Conversion!$C$118,N211&lt;=L_Conversion!$D$118),"-",
IF(AND(M211="02",N211&gt;=L_Conversion!$C$119,N211&lt;=L_Conversion!$D$119),"-",
IF(AND(M211="03",N211&gt;=L_Conversion!$C$120,N211&lt;=L_Conversion!$D$120),"-",
IF(AND(M211="04",N211&gt;=L_Conversion!$C$121,N211&lt;=L_Conversion!$D$121),"-",
IF(AND(M211="05",N211&gt;=L_Conversion!$C$122,N211&lt;=L_Conversion!$D$122),"-",
IF(AND(M211="06",N211&gt;=L_Conversion!$C$123,N211&lt;=L_Conversion!$D$123),"-",
IF(AND(M211="07",N211&gt;=L_Conversion!$C$124,N211&lt;=L_Conversion!$D$124),"-",
IF(AND(M211="08",N211&gt;=L_Conversion!$C$125,N211&lt;=L_Conversion!$D$125),"-",
IF(AND(M211="09",N211&gt;=L_Conversion!$C$126,N211&lt;=L_Conversion!$D$126),"-",
IF(AND(M211="10",N211&gt;=L_Conversion!$C$127,N211&lt;=L_Conversion!$D$127),"-",
IF(AND(M211="11",N211&gt;=L_Conversion!$C$128,N211&lt;=L_Conversion!$D$128),"-",
IF(AND(M211="12",N211&gt;=L_Conversion!$C$129,N211&lt;=L_Conversion!$D$129),"-",
IF(AND(M211="13",N211&gt;=L_Conversion!$C$116,N211&lt;=L_Conversion!$D$116),"-",
IF(AND(M211="14",N211&gt;=L_Conversion!$C$117,N211&lt;=L_Conversion!$D$117),"-",
"PRIMER_DIA fuera de rango")))))))))))))))</f>
        <v>-</v>
      </c>
      <c r="AS211" s="86" t="str">
        <f t="shared" si="94"/>
        <v>-</v>
      </c>
      <c r="AT211" s="86" t="str">
        <f t="shared" si="95"/>
        <v>-</v>
      </c>
      <c r="AU211" s="86" t="str">
        <f t="shared" si="96"/>
        <v>-</v>
      </c>
      <c r="AV211" s="86" t="str">
        <f t="shared" si="97"/>
        <v>-</v>
      </c>
      <c r="AW211" s="86" t="str">
        <f t="shared" si="98"/>
        <v>-</v>
      </c>
      <c r="AX211" s="86" t="str">
        <f t="shared" si="99"/>
        <v>-</v>
      </c>
      <c r="AY211" s="86" t="str">
        <f t="shared" si="100"/>
        <v>-</v>
      </c>
      <c r="AZ211" s="86" t="str">
        <f t="shared" si="101"/>
        <v>-</v>
      </c>
      <c r="BA211" s="86" t="str">
        <f t="shared" si="102"/>
        <v>-</v>
      </c>
      <c r="BB211" s="86" t="str">
        <f t="shared" si="103"/>
        <v>-</v>
      </c>
      <c r="BC211" s="86" t="str">
        <f t="shared" si="104"/>
        <v>-</v>
      </c>
      <c r="BD211" s="86" t="str">
        <f t="shared" si="105"/>
        <v>-</v>
      </c>
      <c r="BE211" s="86" t="str">
        <f t="shared" si="106"/>
        <v>-</v>
      </c>
      <c r="BF211" s="86" t="str">
        <f t="shared" si="107"/>
        <v>-</v>
      </c>
    </row>
    <row r="212" spans="1:58" x14ac:dyDescent="0.2">
      <c r="A212" s="19" t="s">
        <v>1144</v>
      </c>
      <c r="B212" s="19" t="s">
        <v>76</v>
      </c>
      <c r="C212" s="19">
        <v>12184581</v>
      </c>
      <c r="D212" s="81">
        <v>4</v>
      </c>
      <c r="E212" s="19" t="s">
        <v>1329</v>
      </c>
      <c r="F212" s="19" t="s">
        <v>1330</v>
      </c>
      <c r="G212" s="19" t="s">
        <v>1331</v>
      </c>
      <c r="H212" s="19" t="s">
        <v>1033</v>
      </c>
      <c r="I212" s="19" t="s">
        <v>662</v>
      </c>
      <c r="J212" s="19">
        <v>80</v>
      </c>
      <c r="K212" s="19" t="s">
        <v>563</v>
      </c>
      <c r="L212" s="19" t="s">
        <v>502</v>
      </c>
      <c r="M212" s="19" t="s">
        <v>21</v>
      </c>
      <c r="N212" s="19">
        <v>45712</v>
      </c>
      <c r="O212" s="19">
        <v>2</v>
      </c>
      <c r="P212" s="81">
        <v>1</v>
      </c>
      <c r="Q212" s="19" t="s">
        <v>23</v>
      </c>
      <c r="R212" s="19" t="s">
        <v>11</v>
      </c>
      <c r="S212" s="19" t="s">
        <v>23</v>
      </c>
      <c r="T212" s="19">
        <v>2</v>
      </c>
      <c r="U212" s="19" t="s">
        <v>11</v>
      </c>
      <c r="V212" s="19" t="s">
        <v>19</v>
      </c>
      <c r="W212" s="19" t="s">
        <v>19</v>
      </c>
      <c r="X212" s="19">
        <v>43245</v>
      </c>
      <c r="Y212" s="19" t="s">
        <v>735</v>
      </c>
      <c r="Z212" s="19">
        <v>2</v>
      </c>
      <c r="AA212" s="19">
        <v>43245</v>
      </c>
      <c r="AB212" s="19">
        <v>43245</v>
      </c>
      <c r="AC212" s="178" t="str">
        <f>IF(OR(M212="13",M212="14",P212=8),"",IF(AND(OR(S212="AUTORIZADO", S212="PENDIENTE", S212="REDUCIDO", S212="AMPLIADO"),L212&lt;&gt;"HONORARIO" ), CONCATENATE(IF(H212="X","H",H212),"_",IF(OR(P212=5,P212=6),_xlfn.CONCAT(P212,"A"),P212),"_",VLOOKUP(T212,Datos!$B$2:$C$5,2,TRUE)),""))</f>
        <v>M_1_[hasta 3]</v>
      </c>
      <c r="AD212" s="178">
        <f t="shared" si="81"/>
        <v>86490</v>
      </c>
      <c r="AE212" s="82" t="str">
        <f t="shared" si="82"/>
        <v>-</v>
      </c>
      <c r="AF212" s="83" t="str">
        <f t="shared" si="83"/>
        <v>070601</v>
      </c>
      <c r="AG212" s="84"/>
      <c r="AH212" s="85" t="str">
        <f t="shared" si="84"/>
        <v>Corporación de Fomento de la Producción</v>
      </c>
      <c r="AI212" s="82" t="str">
        <f t="shared" si="85"/>
        <v>-</v>
      </c>
      <c r="AJ212" s="82">
        <f t="shared" si="86"/>
        <v>4</v>
      </c>
      <c r="AK212" s="82" t="str">
        <f t="shared" si="87"/>
        <v>-</v>
      </c>
      <c r="AL212" s="82" t="str">
        <f t="shared" si="88"/>
        <v>Identifica este registro como MUJER</v>
      </c>
      <c r="AM212" s="82" t="str">
        <f t="shared" si="89"/>
        <v>-</v>
      </c>
      <c r="AN212" s="82" t="str">
        <f t="shared" si="90"/>
        <v>-</v>
      </c>
      <c r="AO212" s="82" t="str">
        <f t="shared" si="91"/>
        <v>-</v>
      </c>
      <c r="AP212" s="57" t="str">
        <f t="shared" si="92"/>
        <v>-</v>
      </c>
      <c r="AQ212" s="86" t="str">
        <f t="shared" si="93"/>
        <v>-</v>
      </c>
      <c r="AR212" s="86" t="str">
        <f>IF(N212="","PRIMER_DIA en blanco",
IF(AND(M212="01",N212&gt;=L_Conversion!$C$118,N212&lt;=L_Conversion!$D$118),"-",
IF(AND(M212="02",N212&gt;=L_Conversion!$C$119,N212&lt;=L_Conversion!$D$119),"-",
IF(AND(M212="03",N212&gt;=L_Conversion!$C$120,N212&lt;=L_Conversion!$D$120),"-",
IF(AND(M212="04",N212&gt;=L_Conversion!$C$121,N212&lt;=L_Conversion!$D$121),"-",
IF(AND(M212="05",N212&gt;=L_Conversion!$C$122,N212&lt;=L_Conversion!$D$122),"-",
IF(AND(M212="06",N212&gt;=L_Conversion!$C$123,N212&lt;=L_Conversion!$D$123),"-",
IF(AND(M212="07",N212&gt;=L_Conversion!$C$124,N212&lt;=L_Conversion!$D$124),"-",
IF(AND(M212="08",N212&gt;=L_Conversion!$C$125,N212&lt;=L_Conversion!$D$125),"-",
IF(AND(M212="09",N212&gt;=L_Conversion!$C$126,N212&lt;=L_Conversion!$D$126),"-",
IF(AND(M212="10",N212&gt;=L_Conversion!$C$127,N212&lt;=L_Conversion!$D$127),"-",
IF(AND(M212="11",N212&gt;=L_Conversion!$C$128,N212&lt;=L_Conversion!$D$128),"-",
IF(AND(M212="12",N212&gt;=L_Conversion!$C$129,N212&lt;=L_Conversion!$D$129),"-",
IF(AND(M212="13",N212&gt;=L_Conversion!$C$116,N212&lt;=L_Conversion!$D$116),"-",
IF(AND(M212="14",N212&gt;=L_Conversion!$C$117,N212&lt;=L_Conversion!$D$117),"-",
"PRIMER_DIA fuera de rango")))))))))))))))</f>
        <v>-</v>
      </c>
      <c r="AS212" s="86" t="str">
        <f t="shared" si="94"/>
        <v>-</v>
      </c>
      <c r="AT212" s="86" t="str">
        <f t="shared" si="95"/>
        <v>-</v>
      </c>
      <c r="AU212" s="86" t="str">
        <f t="shared" si="96"/>
        <v>-</v>
      </c>
      <c r="AV212" s="86" t="str">
        <f t="shared" si="97"/>
        <v>-</v>
      </c>
      <c r="AW212" s="86" t="str">
        <f t="shared" si="98"/>
        <v>-</v>
      </c>
      <c r="AX212" s="86" t="str">
        <f t="shared" si="99"/>
        <v>-</v>
      </c>
      <c r="AY212" s="86" t="str">
        <f t="shared" si="100"/>
        <v>-</v>
      </c>
      <c r="AZ212" s="86" t="str">
        <f t="shared" si="101"/>
        <v>-</v>
      </c>
      <c r="BA212" s="86" t="str">
        <f t="shared" si="102"/>
        <v>-</v>
      </c>
      <c r="BB212" s="86" t="str">
        <f t="shared" si="103"/>
        <v>-</v>
      </c>
      <c r="BC212" s="86" t="str">
        <f t="shared" si="104"/>
        <v>-</v>
      </c>
      <c r="BD212" s="86" t="str">
        <f t="shared" si="105"/>
        <v>-</v>
      </c>
      <c r="BE212" s="86" t="str">
        <f t="shared" si="106"/>
        <v>-</v>
      </c>
      <c r="BF212" s="86" t="str">
        <f t="shared" si="107"/>
        <v>-</v>
      </c>
    </row>
    <row r="213" spans="1:58" x14ac:dyDescent="0.2">
      <c r="A213" s="19" t="s">
        <v>1144</v>
      </c>
      <c r="B213" s="19" t="s">
        <v>76</v>
      </c>
      <c r="C213" s="19">
        <v>10318089</v>
      </c>
      <c r="D213" s="81">
        <v>9</v>
      </c>
      <c r="E213" s="19" t="s">
        <v>1515</v>
      </c>
      <c r="F213" s="19" t="s">
        <v>1516</v>
      </c>
      <c r="G213" s="19" t="s">
        <v>1517</v>
      </c>
      <c r="H213" s="19" t="s">
        <v>1033</v>
      </c>
      <c r="I213" s="19" t="s">
        <v>662</v>
      </c>
      <c r="J213" s="19">
        <v>80</v>
      </c>
      <c r="K213" s="19" t="s">
        <v>563</v>
      </c>
      <c r="L213" s="19" t="s">
        <v>502</v>
      </c>
      <c r="M213" s="19" t="s">
        <v>21</v>
      </c>
      <c r="N213" s="19">
        <v>45712</v>
      </c>
      <c r="O213" s="19">
        <v>4</v>
      </c>
      <c r="P213" s="81">
        <v>1</v>
      </c>
      <c r="Q213" s="19" t="s">
        <v>23</v>
      </c>
      <c r="R213" s="19" t="s">
        <v>11</v>
      </c>
      <c r="S213" s="19" t="s">
        <v>23</v>
      </c>
      <c r="T213" s="19">
        <v>4</v>
      </c>
      <c r="U213" s="19" t="s">
        <v>11</v>
      </c>
      <c r="V213" s="19" t="s">
        <v>11</v>
      </c>
      <c r="W213" s="19" t="s">
        <v>19</v>
      </c>
      <c r="X213" s="19">
        <v>168619</v>
      </c>
      <c r="Y213" s="19" t="s">
        <v>735</v>
      </c>
      <c r="Z213" s="19">
        <v>4</v>
      </c>
      <c r="AA213" s="19">
        <v>168619</v>
      </c>
      <c r="AB213" s="19">
        <v>168619</v>
      </c>
      <c r="AC213" s="178" t="str">
        <f>IF(OR(M213="13",M213="14",P213=8),"",IF(AND(OR(S213="AUTORIZADO", S213="PENDIENTE", S213="REDUCIDO", S213="AMPLIADO"),L213&lt;&gt;"HONORARIO" ), CONCATENATE(IF(H213="X","H",H213),"_",IF(OR(P213=5,P213=6),_xlfn.CONCAT(P213,"A"),P213),"_",VLOOKUP(T213,Datos!$B$2:$C$5,2,TRUE)),""))</f>
        <v>M_1_[4 a 10]</v>
      </c>
      <c r="AD213" s="178">
        <f t="shared" si="81"/>
        <v>337238</v>
      </c>
      <c r="AE213" s="82" t="str">
        <f t="shared" si="82"/>
        <v>-</v>
      </c>
      <c r="AF213" s="83" t="str">
        <f t="shared" si="83"/>
        <v>070601</v>
      </c>
      <c r="AG213" s="84"/>
      <c r="AH213" s="85" t="str">
        <f t="shared" si="84"/>
        <v>Corporación de Fomento de la Producción</v>
      </c>
      <c r="AI213" s="82" t="str">
        <f t="shared" si="85"/>
        <v>-</v>
      </c>
      <c r="AJ213" s="82">
        <f t="shared" si="86"/>
        <v>9</v>
      </c>
      <c r="AK213" s="82" t="str">
        <f t="shared" si="87"/>
        <v>-</v>
      </c>
      <c r="AL213" s="82" t="str">
        <f t="shared" si="88"/>
        <v>Identifica este registro como MUJER</v>
      </c>
      <c r="AM213" s="82" t="str">
        <f t="shared" si="89"/>
        <v>-</v>
      </c>
      <c r="AN213" s="82" t="str">
        <f t="shared" si="90"/>
        <v>-</v>
      </c>
      <c r="AO213" s="82" t="str">
        <f t="shared" si="91"/>
        <v>-</v>
      </c>
      <c r="AP213" s="57" t="str">
        <f t="shared" si="92"/>
        <v>-</v>
      </c>
      <c r="AQ213" s="86" t="str">
        <f t="shared" si="93"/>
        <v>-</v>
      </c>
      <c r="AR213" s="86" t="str">
        <f>IF(N213="","PRIMER_DIA en blanco",
IF(AND(M213="01",N213&gt;=L_Conversion!$C$118,N213&lt;=L_Conversion!$D$118),"-",
IF(AND(M213="02",N213&gt;=L_Conversion!$C$119,N213&lt;=L_Conversion!$D$119),"-",
IF(AND(M213="03",N213&gt;=L_Conversion!$C$120,N213&lt;=L_Conversion!$D$120),"-",
IF(AND(M213="04",N213&gt;=L_Conversion!$C$121,N213&lt;=L_Conversion!$D$121),"-",
IF(AND(M213="05",N213&gt;=L_Conversion!$C$122,N213&lt;=L_Conversion!$D$122),"-",
IF(AND(M213="06",N213&gt;=L_Conversion!$C$123,N213&lt;=L_Conversion!$D$123),"-",
IF(AND(M213="07",N213&gt;=L_Conversion!$C$124,N213&lt;=L_Conversion!$D$124),"-",
IF(AND(M213="08",N213&gt;=L_Conversion!$C$125,N213&lt;=L_Conversion!$D$125),"-",
IF(AND(M213="09",N213&gt;=L_Conversion!$C$126,N213&lt;=L_Conversion!$D$126),"-",
IF(AND(M213="10",N213&gt;=L_Conversion!$C$127,N213&lt;=L_Conversion!$D$127),"-",
IF(AND(M213="11",N213&gt;=L_Conversion!$C$128,N213&lt;=L_Conversion!$D$128),"-",
IF(AND(M213="12",N213&gt;=L_Conversion!$C$129,N213&lt;=L_Conversion!$D$129),"-",
IF(AND(M213="13",N213&gt;=L_Conversion!$C$116,N213&lt;=L_Conversion!$D$116),"-",
IF(AND(M213="14",N213&gt;=L_Conversion!$C$117,N213&lt;=L_Conversion!$D$117),"-",
"PRIMER_DIA fuera de rango")))))))))))))))</f>
        <v>-</v>
      </c>
      <c r="AS213" s="86" t="str">
        <f t="shared" si="94"/>
        <v>-</v>
      </c>
      <c r="AT213" s="86" t="str">
        <f t="shared" si="95"/>
        <v>-</v>
      </c>
      <c r="AU213" s="86" t="str">
        <f t="shared" si="96"/>
        <v>-</v>
      </c>
      <c r="AV213" s="86" t="str">
        <f t="shared" si="97"/>
        <v>-</v>
      </c>
      <c r="AW213" s="86" t="str">
        <f t="shared" si="98"/>
        <v>-</v>
      </c>
      <c r="AX213" s="86" t="str">
        <f t="shared" si="99"/>
        <v>-</v>
      </c>
      <c r="AY213" s="86" t="str">
        <f t="shared" si="100"/>
        <v>-</v>
      </c>
      <c r="AZ213" s="86" t="str">
        <f t="shared" si="101"/>
        <v>-</v>
      </c>
      <c r="BA213" s="86" t="str">
        <f t="shared" si="102"/>
        <v>-</v>
      </c>
      <c r="BB213" s="86" t="str">
        <f t="shared" si="103"/>
        <v>-</v>
      </c>
      <c r="BC213" s="86" t="str">
        <f t="shared" si="104"/>
        <v>-</v>
      </c>
      <c r="BD213" s="86" t="str">
        <f t="shared" si="105"/>
        <v>-</v>
      </c>
      <c r="BE213" s="86" t="str">
        <f t="shared" si="106"/>
        <v>-</v>
      </c>
      <c r="BF213" s="86" t="str">
        <f t="shared" si="107"/>
        <v>-</v>
      </c>
    </row>
    <row r="214" spans="1:58" x14ac:dyDescent="0.2">
      <c r="A214" s="19" t="s">
        <v>1144</v>
      </c>
      <c r="B214" s="19" t="s">
        <v>76</v>
      </c>
      <c r="C214" s="19">
        <v>18022811</v>
      </c>
      <c r="D214" s="81" t="s">
        <v>1151</v>
      </c>
      <c r="E214" s="19" t="s">
        <v>1518</v>
      </c>
      <c r="F214" s="19" t="s">
        <v>1519</v>
      </c>
      <c r="G214" s="19" t="s">
        <v>1520</v>
      </c>
      <c r="H214" s="19" t="s">
        <v>663</v>
      </c>
      <c r="I214" s="19" t="s">
        <v>662</v>
      </c>
      <c r="J214" s="19">
        <v>80</v>
      </c>
      <c r="K214" s="19" t="s">
        <v>563</v>
      </c>
      <c r="L214" s="19" t="s">
        <v>502</v>
      </c>
      <c r="M214" s="19" t="s">
        <v>21</v>
      </c>
      <c r="N214" s="19">
        <v>45712</v>
      </c>
      <c r="O214" s="19">
        <v>1</v>
      </c>
      <c r="P214" s="81">
        <v>1</v>
      </c>
      <c r="Q214" s="19" t="s">
        <v>23</v>
      </c>
      <c r="R214" s="19" t="s">
        <v>11</v>
      </c>
      <c r="S214" s="19" t="s">
        <v>23</v>
      </c>
      <c r="T214" s="19">
        <v>1</v>
      </c>
      <c r="U214" s="19" t="s">
        <v>11</v>
      </c>
      <c r="V214" s="19" t="s">
        <v>19</v>
      </c>
      <c r="W214" s="19" t="s">
        <v>19</v>
      </c>
      <c r="X214" s="19">
        <v>21464</v>
      </c>
      <c r="Y214" s="19" t="s">
        <v>735</v>
      </c>
      <c r="Z214" s="19">
        <v>1</v>
      </c>
      <c r="AA214" s="19">
        <v>21464</v>
      </c>
      <c r="AB214" s="19">
        <v>21464</v>
      </c>
      <c r="AC214" s="178" t="str">
        <f>IF(OR(M214="13",M214="14",P214=8),"",IF(AND(OR(S214="AUTORIZADO", S214="PENDIENTE", S214="REDUCIDO", S214="AMPLIADO"),L214&lt;&gt;"HONORARIO" ), CONCATENATE(IF(H214="X","H",H214),"_",IF(OR(P214=5,P214=6),_xlfn.CONCAT(P214,"A"),P214),"_",VLOOKUP(T214,Datos!$B$2:$C$5,2,TRUE)),""))</f>
        <v>H_1_[hasta 3]</v>
      </c>
      <c r="AD214" s="178">
        <f t="shared" si="81"/>
        <v>42928</v>
      </c>
      <c r="AE214" s="82" t="str">
        <f t="shared" si="82"/>
        <v>-</v>
      </c>
      <c r="AF214" s="83" t="str">
        <f t="shared" si="83"/>
        <v>070601</v>
      </c>
      <c r="AG214" s="84"/>
      <c r="AH214" s="85" t="str">
        <f t="shared" si="84"/>
        <v>Corporación de Fomento de la Producción</v>
      </c>
      <c r="AI214" s="82" t="str">
        <f t="shared" si="85"/>
        <v>-</v>
      </c>
      <c r="AJ214" s="82" t="str">
        <f t="shared" si="86"/>
        <v>K</v>
      </c>
      <c r="AK214" s="82" t="str">
        <f t="shared" si="87"/>
        <v>-</v>
      </c>
      <c r="AL214" s="82" t="str">
        <f t="shared" si="88"/>
        <v>Identifica este registro como HOMBRE</v>
      </c>
      <c r="AM214" s="82" t="str">
        <f t="shared" si="89"/>
        <v>-</v>
      </c>
      <c r="AN214" s="82" t="str">
        <f t="shared" si="90"/>
        <v>-</v>
      </c>
      <c r="AO214" s="82" t="str">
        <f t="shared" si="91"/>
        <v>-</v>
      </c>
      <c r="AP214" s="57" t="str">
        <f t="shared" si="92"/>
        <v>-</v>
      </c>
      <c r="AQ214" s="86" t="str">
        <f t="shared" si="93"/>
        <v>-</v>
      </c>
      <c r="AR214" s="86" t="str">
        <f>IF(N214="","PRIMER_DIA en blanco",
IF(AND(M214="01",N214&gt;=L_Conversion!$C$118,N214&lt;=L_Conversion!$D$118),"-",
IF(AND(M214="02",N214&gt;=L_Conversion!$C$119,N214&lt;=L_Conversion!$D$119),"-",
IF(AND(M214="03",N214&gt;=L_Conversion!$C$120,N214&lt;=L_Conversion!$D$120),"-",
IF(AND(M214="04",N214&gt;=L_Conversion!$C$121,N214&lt;=L_Conversion!$D$121),"-",
IF(AND(M214="05",N214&gt;=L_Conversion!$C$122,N214&lt;=L_Conversion!$D$122),"-",
IF(AND(M214="06",N214&gt;=L_Conversion!$C$123,N214&lt;=L_Conversion!$D$123),"-",
IF(AND(M214="07",N214&gt;=L_Conversion!$C$124,N214&lt;=L_Conversion!$D$124),"-",
IF(AND(M214="08",N214&gt;=L_Conversion!$C$125,N214&lt;=L_Conversion!$D$125),"-",
IF(AND(M214="09",N214&gt;=L_Conversion!$C$126,N214&lt;=L_Conversion!$D$126),"-",
IF(AND(M214="10",N214&gt;=L_Conversion!$C$127,N214&lt;=L_Conversion!$D$127),"-",
IF(AND(M214="11",N214&gt;=L_Conversion!$C$128,N214&lt;=L_Conversion!$D$128),"-",
IF(AND(M214="12",N214&gt;=L_Conversion!$C$129,N214&lt;=L_Conversion!$D$129),"-",
IF(AND(M214="13",N214&gt;=L_Conversion!$C$116,N214&lt;=L_Conversion!$D$116),"-",
IF(AND(M214="14",N214&gt;=L_Conversion!$C$117,N214&lt;=L_Conversion!$D$117),"-",
"PRIMER_DIA fuera de rango")))))))))))))))</f>
        <v>-</v>
      </c>
      <c r="AS214" s="86" t="str">
        <f t="shared" si="94"/>
        <v>-</v>
      </c>
      <c r="AT214" s="86" t="str">
        <f t="shared" si="95"/>
        <v>-</v>
      </c>
      <c r="AU214" s="86" t="str">
        <f t="shared" si="96"/>
        <v>-</v>
      </c>
      <c r="AV214" s="86" t="str">
        <f t="shared" si="97"/>
        <v>-</v>
      </c>
      <c r="AW214" s="86" t="str">
        <f t="shared" si="98"/>
        <v>-</v>
      </c>
      <c r="AX214" s="86" t="str">
        <f t="shared" si="99"/>
        <v>-</v>
      </c>
      <c r="AY214" s="86" t="str">
        <f t="shared" si="100"/>
        <v>-</v>
      </c>
      <c r="AZ214" s="86" t="str">
        <f t="shared" si="101"/>
        <v>-</v>
      </c>
      <c r="BA214" s="86" t="str">
        <f t="shared" si="102"/>
        <v>-</v>
      </c>
      <c r="BB214" s="86" t="str">
        <f t="shared" si="103"/>
        <v>-</v>
      </c>
      <c r="BC214" s="86" t="str">
        <f t="shared" si="104"/>
        <v>-</v>
      </c>
      <c r="BD214" s="86" t="str">
        <f t="shared" si="105"/>
        <v>-</v>
      </c>
      <c r="BE214" s="86" t="str">
        <f t="shared" si="106"/>
        <v>-</v>
      </c>
      <c r="BF214" s="86" t="str">
        <f t="shared" si="107"/>
        <v>-</v>
      </c>
    </row>
    <row r="215" spans="1:58" x14ac:dyDescent="0.2">
      <c r="A215" s="19" t="s">
        <v>1144</v>
      </c>
      <c r="B215" s="19" t="s">
        <v>76</v>
      </c>
      <c r="C215" s="19">
        <v>17238853</v>
      </c>
      <c r="D215" s="81">
        <v>1</v>
      </c>
      <c r="E215" s="19" t="s">
        <v>1185</v>
      </c>
      <c r="F215" s="19" t="s">
        <v>1217</v>
      </c>
      <c r="G215" s="19" t="s">
        <v>1521</v>
      </c>
      <c r="H215" s="19" t="s">
        <v>1033</v>
      </c>
      <c r="I215" s="19" t="s">
        <v>662</v>
      </c>
      <c r="J215" s="19">
        <v>80</v>
      </c>
      <c r="K215" s="19" t="s">
        <v>563</v>
      </c>
      <c r="L215" s="19" t="s">
        <v>502</v>
      </c>
      <c r="M215" s="19" t="s">
        <v>21</v>
      </c>
      <c r="N215" s="19">
        <v>45712</v>
      </c>
      <c r="O215" s="19">
        <v>3</v>
      </c>
      <c r="P215" s="81">
        <v>1</v>
      </c>
      <c r="Q215" s="19" t="s">
        <v>23</v>
      </c>
      <c r="R215" s="19" t="s">
        <v>11</v>
      </c>
      <c r="S215" s="19" t="s">
        <v>23</v>
      </c>
      <c r="T215" s="19">
        <v>3</v>
      </c>
      <c r="U215" s="19" t="s">
        <v>11</v>
      </c>
      <c r="V215" s="19" t="s">
        <v>19</v>
      </c>
      <c r="W215" s="19" t="s">
        <v>19</v>
      </c>
      <c r="X215" s="19">
        <v>63293</v>
      </c>
      <c r="Y215" s="19" t="s">
        <v>735</v>
      </c>
      <c r="Z215" s="19">
        <v>3</v>
      </c>
      <c r="AA215" s="19">
        <v>63293</v>
      </c>
      <c r="AB215" s="19">
        <v>63293</v>
      </c>
      <c r="AC215" s="178" t="str">
        <f>IF(OR(M215="13",M215="14",P215=8),"",IF(AND(OR(S215="AUTORIZADO", S215="PENDIENTE", S215="REDUCIDO", S215="AMPLIADO"),L215&lt;&gt;"HONORARIO" ), CONCATENATE(IF(H215="X","H",H215),"_",IF(OR(P215=5,P215=6),_xlfn.CONCAT(P215,"A"),P215),"_",VLOOKUP(T215,Datos!$B$2:$C$5,2,TRUE)),""))</f>
        <v>M_1_[hasta 3]</v>
      </c>
      <c r="AD215" s="178">
        <f t="shared" si="81"/>
        <v>126586</v>
      </c>
      <c r="AE215" s="82" t="str">
        <f t="shared" si="82"/>
        <v>-</v>
      </c>
      <c r="AF215" s="83" t="str">
        <f t="shared" si="83"/>
        <v>070601</v>
      </c>
      <c r="AG215" s="84"/>
      <c r="AH215" s="85" t="str">
        <f t="shared" si="84"/>
        <v>Corporación de Fomento de la Producción</v>
      </c>
      <c r="AI215" s="82" t="str">
        <f t="shared" si="85"/>
        <v>-</v>
      </c>
      <c r="AJ215" s="82">
        <f t="shared" si="86"/>
        <v>1</v>
      </c>
      <c r="AK215" s="82" t="str">
        <f t="shared" si="87"/>
        <v>-</v>
      </c>
      <c r="AL215" s="82" t="str">
        <f t="shared" si="88"/>
        <v>Identifica este registro como MUJER</v>
      </c>
      <c r="AM215" s="82" t="str">
        <f t="shared" si="89"/>
        <v>-</v>
      </c>
      <c r="AN215" s="82" t="str">
        <f t="shared" si="90"/>
        <v>-</v>
      </c>
      <c r="AO215" s="82" t="str">
        <f t="shared" si="91"/>
        <v>-</v>
      </c>
      <c r="AP215" s="57" t="str">
        <f t="shared" si="92"/>
        <v>-</v>
      </c>
      <c r="AQ215" s="86" t="str">
        <f t="shared" si="93"/>
        <v>-</v>
      </c>
      <c r="AR215" s="86" t="str">
        <f>IF(N215="","PRIMER_DIA en blanco",
IF(AND(M215="01",N215&gt;=L_Conversion!$C$118,N215&lt;=L_Conversion!$D$118),"-",
IF(AND(M215="02",N215&gt;=L_Conversion!$C$119,N215&lt;=L_Conversion!$D$119),"-",
IF(AND(M215="03",N215&gt;=L_Conversion!$C$120,N215&lt;=L_Conversion!$D$120),"-",
IF(AND(M215="04",N215&gt;=L_Conversion!$C$121,N215&lt;=L_Conversion!$D$121),"-",
IF(AND(M215="05",N215&gt;=L_Conversion!$C$122,N215&lt;=L_Conversion!$D$122),"-",
IF(AND(M215="06",N215&gt;=L_Conversion!$C$123,N215&lt;=L_Conversion!$D$123),"-",
IF(AND(M215="07",N215&gt;=L_Conversion!$C$124,N215&lt;=L_Conversion!$D$124),"-",
IF(AND(M215="08",N215&gt;=L_Conversion!$C$125,N215&lt;=L_Conversion!$D$125),"-",
IF(AND(M215="09",N215&gt;=L_Conversion!$C$126,N215&lt;=L_Conversion!$D$126),"-",
IF(AND(M215="10",N215&gt;=L_Conversion!$C$127,N215&lt;=L_Conversion!$D$127),"-",
IF(AND(M215="11",N215&gt;=L_Conversion!$C$128,N215&lt;=L_Conversion!$D$128),"-",
IF(AND(M215="12",N215&gt;=L_Conversion!$C$129,N215&lt;=L_Conversion!$D$129),"-",
IF(AND(M215="13",N215&gt;=L_Conversion!$C$116,N215&lt;=L_Conversion!$D$116),"-",
IF(AND(M215="14",N215&gt;=L_Conversion!$C$117,N215&lt;=L_Conversion!$D$117),"-",
"PRIMER_DIA fuera de rango")))))))))))))))</f>
        <v>-</v>
      </c>
      <c r="AS215" s="86" t="str">
        <f t="shared" si="94"/>
        <v>-</v>
      </c>
      <c r="AT215" s="86" t="str">
        <f t="shared" si="95"/>
        <v>-</v>
      </c>
      <c r="AU215" s="86" t="str">
        <f t="shared" si="96"/>
        <v>-</v>
      </c>
      <c r="AV215" s="86" t="str">
        <f t="shared" si="97"/>
        <v>-</v>
      </c>
      <c r="AW215" s="86" t="str">
        <f t="shared" si="98"/>
        <v>-</v>
      </c>
      <c r="AX215" s="86" t="str">
        <f t="shared" si="99"/>
        <v>-</v>
      </c>
      <c r="AY215" s="86" t="str">
        <f t="shared" si="100"/>
        <v>-</v>
      </c>
      <c r="AZ215" s="86" t="str">
        <f t="shared" si="101"/>
        <v>-</v>
      </c>
      <c r="BA215" s="86" t="str">
        <f t="shared" si="102"/>
        <v>-</v>
      </c>
      <c r="BB215" s="86" t="str">
        <f t="shared" si="103"/>
        <v>-</v>
      </c>
      <c r="BC215" s="86" t="str">
        <f t="shared" si="104"/>
        <v>-</v>
      </c>
      <c r="BD215" s="86" t="str">
        <f t="shared" si="105"/>
        <v>-</v>
      </c>
      <c r="BE215" s="86" t="str">
        <f t="shared" si="106"/>
        <v>-</v>
      </c>
      <c r="BF215" s="86" t="str">
        <f t="shared" si="107"/>
        <v>-</v>
      </c>
    </row>
    <row r="216" spans="1:58" x14ac:dyDescent="0.2">
      <c r="A216" s="19" t="s">
        <v>1144</v>
      </c>
      <c r="B216" s="19" t="s">
        <v>76</v>
      </c>
      <c r="C216" s="19">
        <v>15491762</v>
      </c>
      <c r="D216" s="81">
        <v>4</v>
      </c>
      <c r="E216" s="19" t="s">
        <v>1180</v>
      </c>
      <c r="F216" s="19" t="s">
        <v>1409</v>
      </c>
      <c r="G216" s="19" t="s">
        <v>1522</v>
      </c>
      <c r="H216" s="19" t="s">
        <v>1033</v>
      </c>
      <c r="I216" s="19" t="s">
        <v>662</v>
      </c>
      <c r="J216" s="19">
        <v>80</v>
      </c>
      <c r="K216" s="19" t="s">
        <v>563</v>
      </c>
      <c r="L216" s="19" t="s">
        <v>502</v>
      </c>
      <c r="M216" s="19" t="s">
        <v>21</v>
      </c>
      <c r="N216" s="19">
        <v>45712</v>
      </c>
      <c r="O216" s="19">
        <v>21</v>
      </c>
      <c r="P216" s="81">
        <v>1</v>
      </c>
      <c r="Q216" s="19" t="s">
        <v>23</v>
      </c>
      <c r="R216" s="19" t="s">
        <v>11</v>
      </c>
      <c r="S216" s="19" t="s">
        <v>23</v>
      </c>
      <c r="T216" s="19">
        <v>21</v>
      </c>
      <c r="U216" s="19" t="s">
        <v>11</v>
      </c>
      <c r="V216" s="19" t="s">
        <v>11</v>
      </c>
      <c r="W216" s="19" t="s">
        <v>19</v>
      </c>
      <c r="X216" s="19">
        <v>1770019</v>
      </c>
      <c r="Y216" s="19" t="s">
        <v>735</v>
      </c>
      <c r="Z216" s="19">
        <v>21</v>
      </c>
      <c r="AA216" s="19">
        <v>1770019</v>
      </c>
      <c r="AB216" s="19">
        <v>1770019</v>
      </c>
      <c r="AC216" s="178" t="str">
        <f>IF(OR(M216="13",M216="14",P216=8),"",IF(AND(OR(S216="AUTORIZADO", S216="PENDIENTE", S216="REDUCIDO", S216="AMPLIADO"),L216&lt;&gt;"HONORARIO" ), CONCATENATE(IF(H216="X","H",H216),"_",IF(OR(P216=5,P216=6),_xlfn.CONCAT(P216,"A"),P216),"_",VLOOKUP(T216,Datos!$B$2:$C$5,2,TRUE)),""))</f>
        <v>M_1_[11 +]</v>
      </c>
      <c r="AD216" s="178">
        <f t="shared" si="81"/>
        <v>3540038</v>
      </c>
      <c r="AE216" s="82" t="str">
        <f t="shared" si="82"/>
        <v>-</v>
      </c>
      <c r="AF216" s="83" t="str">
        <f t="shared" si="83"/>
        <v>070601</v>
      </c>
      <c r="AG216" s="84"/>
      <c r="AH216" s="85" t="str">
        <f t="shared" si="84"/>
        <v>Corporación de Fomento de la Producción</v>
      </c>
      <c r="AI216" s="82" t="str">
        <f t="shared" si="85"/>
        <v>-</v>
      </c>
      <c r="AJ216" s="82">
        <f t="shared" si="86"/>
        <v>4</v>
      </c>
      <c r="AK216" s="82" t="str">
        <f t="shared" si="87"/>
        <v>-</v>
      </c>
      <c r="AL216" s="82" t="str">
        <f t="shared" si="88"/>
        <v>Identifica este registro como MUJER</v>
      </c>
      <c r="AM216" s="82" t="str">
        <f t="shared" si="89"/>
        <v>-</v>
      </c>
      <c r="AN216" s="82" t="str">
        <f t="shared" si="90"/>
        <v>-</v>
      </c>
      <c r="AO216" s="82" t="str">
        <f t="shared" si="91"/>
        <v>-</v>
      </c>
      <c r="AP216" s="57" t="str">
        <f t="shared" si="92"/>
        <v>-</v>
      </c>
      <c r="AQ216" s="86" t="str">
        <f t="shared" si="93"/>
        <v>-</v>
      </c>
      <c r="AR216" s="86" t="str">
        <f>IF(N216="","PRIMER_DIA en blanco",
IF(AND(M216="01",N216&gt;=L_Conversion!$C$118,N216&lt;=L_Conversion!$D$118),"-",
IF(AND(M216="02",N216&gt;=L_Conversion!$C$119,N216&lt;=L_Conversion!$D$119),"-",
IF(AND(M216="03",N216&gt;=L_Conversion!$C$120,N216&lt;=L_Conversion!$D$120),"-",
IF(AND(M216="04",N216&gt;=L_Conversion!$C$121,N216&lt;=L_Conversion!$D$121),"-",
IF(AND(M216="05",N216&gt;=L_Conversion!$C$122,N216&lt;=L_Conversion!$D$122),"-",
IF(AND(M216="06",N216&gt;=L_Conversion!$C$123,N216&lt;=L_Conversion!$D$123),"-",
IF(AND(M216="07",N216&gt;=L_Conversion!$C$124,N216&lt;=L_Conversion!$D$124),"-",
IF(AND(M216="08",N216&gt;=L_Conversion!$C$125,N216&lt;=L_Conversion!$D$125),"-",
IF(AND(M216="09",N216&gt;=L_Conversion!$C$126,N216&lt;=L_Conversion!$D$126),"-",
IF(AND(M216="10",N216&gt;=L_Conversion!$C$127,N216&lt;=L_Conversion!$D$127),"-",
IF(AND(M216="11",N216&gt;=L_Conversion!$C$128,N216&lt;=L_Conversion!$D$128),"-",
IF(AND(M216="12",N216&gt;=L_Conversion!$C$129,N216&lt;=L_Conversion!$D$129),"-",
IF(AND(M216="13",N216&gt;=L_Conversion!$C$116,N216&lt;=L_Conversion!$D$116),"-",
IF(AND(M216="14",N216&gt;=L_Conversion!$C$117,N216&lt;=L_Conversion!$D$117),"-",
"PRIMER_DIA fuera de rango")))))))))))))))</f>
        <v>-</v>
      </c>
      <c r="AS216" s="86" t="str">
        <f t="shared" si="94"/>
        <v>-</v>
      </c>
      <c r="AT216" s="86" t="str">
        <f t="shared" si="95"/>
        <v>-</v>
      </c>
      <c r="AU216" s="86" t="str">
        <f t="shared" si="96"/>
        <v>-</v>
      </c>
      <c r="AV216" s="86" t="str">
        <f t="shared" si="97"/>
        <v>-</v>
      </c>
      <c r="AW216" s="86" t="str">
        <f t="shared" si="98"/>
        <v>-</v>
      </c>
      <c r="AX216" s="86" t="str">
        <f t="shared" si="99"/>
        <v>-</v>
      </c>
      <c r="AY216" s="86" t="str">
        <f t="shared" si="100"/>
        <v>-</v>
      </c>
      <c r="AZ216" s="86" t="str">
        <f t="shared" si="101"/>
        <v>-</v>
      </c>
      <c r="BA216" s="86" t="str">
        <f t="shared" si="102"/>
        <v>-</v>
      </c>
      <c r="BB216" s="86" t="str">
        <f t="shared" si="103"/>
        <v>-</v>
      </c>
      <c r="BC216" s="86" t="str">
        <f t="shared" si="104"/>
        <v>-</v>
      </c>
      <c r="BD216" s="86" t="str">
        <f t="shared" si="105"/>
        <v>-</v>
      </c>
      <c r="BE216" s="86" t="str">
        <f t="shared" si="106"/>
        <v>-</v>
      </c>
      <c r="BF216" s="86" t="str">
        <f t="shared" si="107"/>
        <v>-</v>
      </c>
    </row>
    <row r="217" spans="1:58" x14ac:dyDescent="0.2">
      <c r="A217" s="19" t="s">
        <v>1144</v>
      </c>
      <c r="B217" s="19" t="s">
        <v>76</v>
      </c>
      <c r="C217" s="19">
        <v>8376358</v>
      </c>
      <c r="D217" s="81">
        <v>2</v>
      </c>
      <c r="E217" s="19" t="s">
        <v>1180</v>
      </c>
      <c r="F217" s="19" t="s">
        <v>1523</v>
      </c>
      <c r="G217" s="19" t="s">
        <v>1524</v>
      </c>
      <c r="H217" s="19" t="s">
        <v>1033</v>
      </c>
      <c r="I217" s="19" t="s">
        <v>662</v>
      </c>
      <c r="J217" s="19">
        <v>60</v>
      </c>
      <c r="K217" s="19" t="s">
        <v>567</v>
      </c>
      <c r="L217" s="19" t="s">
        <v>497</v>
      </c>
      <c r="M217" s="19" t="s">
        <v>21</v>
      </c>
      <c r="N217" s="19">
        <v>45712</v>
      </c>
      <c r="O217" s="19">
        <v>4</v>
      </c>
      <c r="P217" s="81">
        <v>1</v>
      </c>
      <c r="Q217" s="19" t="s">
        <v>23</v>
      </c>
      <c r="R217" s="19" t="s">
        <v>11</v>
      </c>
      <c r="S217" s="19" t="s">
        <v>23</v>
      </c>
      <c r="T217" s="19">
        <v>4</v>
      </c>
      <c r="U217" s="19" t="s">
        <v>11</v>
      </c>
      <c r="V217" s="19" t="s">
        <v>11</v>
      </c>
      <c r="W217" s="19" t="s">
        <v>19</v>
      </c>
      <c r="X217" s="19">
        <v>116072</v>
      </c>
      <c r="Y217" s="19" t="s">
        <v>735</v>
      </c>
      <c r="Z217" s="19">
        <v>4</v>
      </c>
      <c r="AA217" s="19">
        <v>116072</v>
      </c>
      <c r="AB217" s="19">
        <v>116072</v>
      </c>
      <c r="AC217" s="178" t="str">
        <f>IF(OR(M217="13",M217="14",P217=8),"",IF(AND(OR(S217="AUTORIZADO", S217="PENDIENTE", S217="REDUCIDO", S217="AMPLIADO"),L217&lt;&gt;"HONORARIO" ), CONCATENATE(IF(H217="X","H",H217),"_",IF(OR(P217=5,P217=6),_xlfn.CONCAT(P217,"A"),P217),"_",VLOOKUP(T217,Datos!$B$2:$C$5,2,TRUE)),""))</f>
        <v>M_1_[4 a 10]</v>
      </c>
      <c r="AD217" s="178">
        <f t="shared" si="81"/>
        <v>232144</v>
      </c>
      <c r="AE217" s="82" t="str">
        <f t="shared" si="82"/>
        <v>-</v>
      </c>
      <c r="AF217" s="83" t="str">
        <f t="shared" si="83"/>
        <v>070601</v>
      </c>
      <c r="AG217" s="84"/>
      <c r="AH217" s="85" t="str">
        <f t="shared" si="84"/>
        <v>Corporación de Fomento de la Producción</v>
      </c>
      <c r="AI217" s="82" t="str">
        <f t="shared" si="85"/>
        <v>-</v>
      </c>
      <c r="AJ217" s="82">
        <f t="shared" si="86"/>
        <v>2</v>
      </c>
      <c r="AK217" s="82" t="str">
        <f t="shared" si="87"/>
        <v>-</v>
      </c>
      <c r="AL217" s="82" t="str">
        <f t="shared" si="88"/>
        <v>Identifica este registro como MUJER</v>
      </c>
      <c r="AM217" s="82" t="str">
        <f t="shared" si="89"/>
        <v>-</v>
      </c>
      <c r="AN217" s="82" t="str">
        <f t="shared" si="90"/>
        <v>-</v>
      </c>
      <c r="AO217" s="82" t="str">
        <f t="shared" si="91"/>
        <v>-</v>
      </c>
      <c r="AP217" s="57" t="str">
        <f t="shared" si="92"/>
        <v>-</v>
      </c>
      <c r="AQ217" s="86" t="str">
        <f t="shared" si="93"/>
        <v>-</v>
      </c>
      <c r="AR217" s="86" t="str">
        <f>IF(N217="","PRIMER_DIA en blanco",
IF(AND(M217="01",N217&gt;=L_Conversion!$C$118,N217&lt;=L_Conversion!$D$118),"-",
IF(AND(M217="02",N217&gt;=L_Conversion!$C$119,N217&lt;=L_Conversion!$D$119),"-",
IF(AND(M217="03",N217&gt;=L_Conversion!$C$120,N217&lt;=L_Conversion!$D$120),"-",
IF(AND(M217="04",N217&gt;=L_Conversion!$C$121,N217&lt;=L_Conversion!$D$121),"-",
IF(AND(M217="05",N217&gt;=L_Conversion!$C$122,N217&lt;=L_Conversion!$D$122),"-",
IF(AND(M217="06",N217&gt;=L_Conversion!$C$123,N217&lt;=L_Conversion!$D$123),"-",
IF(AND(M217="07",N217&gt;=L_Conversion!$C$124,N217&lt;=L_Conversion!$D$124),"-",
IF(AND(M217="08",N217&gt;=L_Conversion!$C$125,N217&lt;=L_Conversion!$D$125),"-",
IF(AND(M217="09",N217&gt;=L_Conversion!$C$126,N217&lt;=L_Conversion!$D$126),"-",
IF(AND(M217="10",N217&gt;=L_Conversion!$C$127,N217&lt;=L_Conversion!$D$127),"-",
IF(AND(M217="11",N217&gt;=L_Conversion!$C$128,N217&lt;=L_Conversion!$D$128),"-",
IF(AND(M217="12",N217&gt;=L_Conversion!$C$129,N217&lt;=L_Conversion!$D$129),"-",
IF(AND(M217="13",N217&gt;=L_Conversion!$C$116,N217&lt;=L_Conversion!$D$116),"-",
IF(AND(M217="14",N217&gt;=L_Conversion!$C$117,N217&lt;=L_Conversion!$D$117),"-",
"PRIMER_DIA fuera de rango")))))))))))))))</f>
        <v>-</v>
      </c>
      <c r="AS217" s="86" t="str">
        <f t="shared" si="94"/>
        <v>-</v>
      </c>
      <c r="AT217" s="86" t="str">
        <f t="shared" si="95"/>
        <v>-</v>
      </c>
      <c r="AU217" s="86" t="str">
        <f t="shared" si="96"/>
        <v>-</v>
      </c>
      <c r="AV217" s="86" t="str">
        <f t="shared" si="97"/>
        <v>-</v>
      </c>
      <c r="AW217" s="86" t="str">
        <f t="shared" si="98"/>
        <v>-</v>
      </c>
      <c r="AX217" s="86" t="str">
        <f t="shared" si="99"/>
        <v>-</v>
      </c>
      <c r="AY217" s="86" t="str">
        <f t="shared" si="100"/>
        <v>-</v>
      </c>
      <c r="AZ217" s="86" t="str">
        <f t="shared" si="101"/>
        <v>-</v>
      </c>
      <c r="BA217" s="86" t="str">
        <f t="shared" si="102"/>
        <v>-</v>
      </c>
      <c r="BB217" s="86" t="str">
        <f t="shared" si="103"/>
        <v>-</v>
      </c>
      <c r="BC217" s="86" t="str">
        <f t="shared" si="104"/>
        <v>-</v>
      </c>
      <c r="BD217" s="86" t="str">
        <f t="shared" si="105"/>
        <v>-</v>
      </c>
      <c r="BE217" s="86" t="str">
        <f t="shared" si="106"/>
        <v>-</v>
      </c>
      <c r="BF217" s="86" t="str">
        <f t="shared" si="107"/>
        <v>-</v>
      </c>
    </row>
    <row r="218" spans="1:58" x14ac:dyDescent="0.2">
      <c r="A218" s="19" t="s">
        <v>1144</v>
      </c>
      <c r="B218" s="19" t="s">
        <v>76</v>
      </c>
      <c r="C218" s="19">
        <v>18022811</v>
      </c>
      <c r="D218" s="81" t="s">
        <v>1151</v>
      </c>
      <c r="E218" s="19" t="s">
        <v>1518</v>
      </c>
      <c r="F218" s="19" t="s">
        <v>1519</v>
      </c>
      <c r="G218" s="19" t="s">
        <v>1520</v>
      </c>
      <c r="H218" s="19" t="s">
        <v>663</v>
      </c>
      <c r="I218" s="19" t="s">
        <v>662</v>
      </c>
      <c r="J218" s="19">
        <v>80</v>
      </c>
      <c r="K218" s="19" t="s">
        <v>563</v>
      </c>
      <c r="L218" s="19" t="s">
        <v>502</v>
      </c>
      <c r="M218" s="19" t="s">
        <v>21</v>
      </c>
      <c r="N218" s="19">
        <v>45713</v>
      </c>
      <c r="O218" s="19">
        <v>1</v>
      </c>
      <c r="P218" s="81">
        <v>1</v>
      </c>
      <c r="Q218" s="19" t="s">
        <v>23</v>
      </c>
      <c r="R218" s="19" t="s">
        <v>11</v>
      </c>
      <c r="S218" s="19" t="s">
        <v>23</v>
      </c>
      <c r="T218" s="19">
        <v>1</v>
      </c>
      <c r="U218" s="19" t="s">
        <v>11</v>
      </c>
      <c r="V218" s="19" t="s">
        <v>19</v>
      </c>
      <c r="W218" s="19" t="s">
        <v>19</v>
      </c>
      <c r="X218" s="19">
        <v>21464</v>
      </c>
      <c r="Y218" s="19" t="s">
        <v>735</v>
      </c>
      <c r="Z218" s="19">
        <v>1</v>
      </c>
      <c r="AA218" s="19">
        <v>21464</v>
      </c>
      <c r="AB218" s="19">
        <v>21464</v>
      </c>
      <c r="AC218" s="178" t="str">
        <f>IF(OR(M218="13",M218="14",P218=8),"",IF(AND(OR(S218="AUTORIZADO", S218="PENDIENTE", S218="REDUCIDO", S218="AMPLIADO"),L218&lt;&gt;"HONORARIO" ), CONCATENATE(IF(H218="X","H",H218),"_",IF(OR(P218=5,P218=6),_xlfn.CONCAT(P218,"A"),P218),"_",VLOOKUP(T218,Datos!$B$2:$C$5,2,TRUE)),""))</f>
        <v>H_1_[hasta 3]</v>
      </c>
      <c r="AD218" s="178">
        <f t="shared" si="81"/>
        <v>42928</v>
      </c>
      <c r="AE218" s="82" t="str">
        <f t="shared" si="82"/>
        <v>-</v>
      </c>
      <c r="AF218" s="83" t="str">
        <f t="shared" si="83"/>
        <v>070601</v>
      </c>
      <c r="AG218" s="84"/>
      <c r="AH218" s="85" t="str">
        <f t="shared" si="84"/>
        <v>Corporación de Fomento de la Producción</v>
      </c>
      <c r="AI218" s="82" t="str">
        <f t="shared" si="85"/>
        <v>-</v>
      </c>
      <c r="AJ218" s="82" t="str">
        <f t="shared" si="86"/>
        <v>K</v>
      </c>
      <c r="AK218" s="82" t="str">
        <f t="shared" si="87"/>
        <v>-</v>
      </c>
      <c r="AL218" s="82" t="str">
        <f t="shared" si="88"/>
        <v>Identifica este registro como HOMBRE</v>
      </c>
      <c r="AM218" s="82" t="str">
        <f t="shared" si="89"/>
        <v>-</v>
      </c>
      <c r="AN218" s="82" t="str">
        <f t="shared" si="90"/>
        <v>-</v>
      </c>
      <c r="AO218" s="82" t="str">
        <f t="shared" si="91"/>
        <v>-</v>
      </c>
      <c r="AP218" s="57" t="str">
        <f t="shared" si="92"/>
        <v>-</v>
      </c>
      <c r="AQ218" s="86" t="str">
        <f t="shared" si="93"/>
        <v>-</v>
      </c>
      <c r="AR218" s="86" t="str">
        <f>IF(N218="","PRIMER_DIA en blanco",
IF(AND(M218="01",N218&gt;=L_Conversion!$C$118,N218&lt;=L_Conversion!$D$118),"-",
IF(AND(M218="02",N218&gt;=L_Conversion!$C$119,N218&lt;=L_Conversion!$D$119),"-",
IF(AND(M218="03",N218&gt;=L_Conversion!$C$120,N218&lt;=L_Conversion!$D$120),"-",
IF(AND(M218="04",N218&gt;=L_Conversion!$C$121,N218&lt;=L_Conversion!$D$121),"-",
IF(AND(M218="05",N218&gt;=L_Conversion!$C$122,N218&lt;=L_Conversion!$D$122),"-",
IF(AND(M218="06",N218&gt;=L_Conversion!$C$123,N218&lt;=L_Conversion!$D$123),"-",
IF(AND(M218="07",N218&gt;=L_Conversion!$C$124,N218&lt;=L_Conversion!$D$124),"-",
IF(AND(M218="08",N218&gt;=L_Conversion!$C$125,N218&lt;=L_Conversion!$D$125),"-",
IF(AND(M218="09",N218&gt;=L_Conversion!$C$126,N218&lt;=L_Conversion!$D$126),"-",
IF(AND(M218="10",N218&gt;=L_Conversion!$C$127,N218&lt;=L_Conversion!$D$127),"-",
IF(AND(M218="11",N218&gt;=L_Conversion!$C$128,N218&lt;=L_Conversion!$D$128),"-",
IF(AND(M218="12",N218&gt;=L_Conversion!$C$129,N218&lt;=L_Conversion!$D$129),"-",
IF(AND(M218="13",N218&gt;=L_Conversion!$C$116,N218&lt;=L_Conversion!$D$116),"-",
IF(AND(M218="14",N218&gt;=L_Conversion!$C$117,N218&lt;=L_Conversion!$D$117),"-",
"PRIMER_DIA fuera de rango")))))))))))))))</f>
        <v>-</v>
      </c>
      <c r="AS218" s="86" t="str">
        <f t="shared" si="94"/>
        <v>-</v>
      </c>
      <c r="AT218" s="86" t="str">
        <f t="shared" si="95"/>
        <v>-</v>
      </c>
      <c r="AU218" s="86" t="str">
        <f t="shared" si="96"/>
        <v>-</v>
      </c>
      <c r="AV218" s="86" t="str">
        <f t="shared" si="97"/>
        <v>-</v>
      </c>
      <c r="AW218" s="86" t="str">
        <f t="shared" si="98"/>
        <v>-</v>
      </c>
      <c r="AX218" s="86" t="str">
        <f t="shared" si="99"/>
        <v>-</v>
      </c>
      <c r="AY218" s="86" t="str">
        <f t="shared" si="100"/>
        <v>-</v>
      </c>
      <c r="AZ218" s="86" t="str">
        <f t="shared" si="101"/>
        <v>-</v>
      </c>
      <c r="BA218" s="86" t="str">
        <f t="shared" si="102"/>
        <v>-</v>
      </c>
      <c r="BB218" s="86" t="str">
        <f t="shared" si="103"/>
        <v>-</v>
      </c>
      <c r="BC218" s="86" t="str">
        <f t="shared" si="104"/>
        <v>-</v>
      </c>
      <c r="BD218" s="86" t="str">
        <f t="shared" si="105"/>
        <v>-</v>
      </c>
      <c r="BE218" s="86" t="str">
        <f t="shared" si="106"/>
        <v>-</v>
      </c>
      <c r="BF218" s="86" t="str">
        <f t="shared" si="107"/>
        <v>-</v>
      </c>
    </row>
    <row r="219" spans="1:58" x14ac:dyDescent="0.2">
      <c r="A219" s="19" t="s">
        <v>1144</v>
      </c>
      <c r="B219" s="19" t="s">
        <v>76</v>
      </c>
      <c r="C219" s="19">
        <v>27941093</v>
      </c>
      <c r="D219" s="81">
        <v>9</v>
      </c>
      <c r="E219" s="19" t="s">
        <v>1182</v>
      </c>
      <c r="F219" s="19" t="s">
        <v>1444</v>
      </c>
      <c r="G219" s="19" t="s">
        <v>1525</v>
      </c>
      <c r="H219" s="19" t="s">
        <v>663</v>
      </c>
      <c r="I219" s="19" t="s">
        <v>662</v>
      </c>
      <c r="J219" s="19">
        <v>80</v>
      </c>
      <c r="K219" s="19" t="s">
        <v>567</v>
      </c>
      <c r="L219" s="19" t="s">
        <v>502</v>
      </c>
      <c r="M219" s="19" t="s">
        <v>21</v>
      </c>
      <c r="N219" s="19">
        <v>45713</v>
      </c>
      <c r="O219" s="19">
        <v>1</v>
      </c>
      <c r="P219" s="81">
        <v>1</v>
      </c>
      <c r="Q219" s="19" t="s">
        <v>23</v>
      </c>
      <c r="R219" s="19" t="s">
        <v>11</v>
      </c>
      <c r="S219" s="19" t="s">
        <v>23</v>
      </c>
      <c r="T219" s="19">
        <v>1</v>
      </c>
      <c r="U219" s="19" t="s">
        <v>11</v>
      </c>
      <c r="V219" s="19" t="s">
        <v>19</v>
      </c>
      <c r="W219" s="19" t="s">
        <v>19</v>
      </c>
      <c r="X219" s="19">
        <v>6291</v>
      </c>
      <c r="Y219" s="19" t="s">
        <v>735</v>
      </c>
      <c r="Z219" s="19">
        <v>1</v>
      </c>
      <c r="AA219" s="19">
        <v>6291</v>
      </c>
      <c r="AB219" s="19">
        <v>6291</v>
      </c>
      <c r="AC219" s="178" t="str">
        <f>IF(OR(M219="13",M219="14",P219=8),"",IF(AND(OR(S219="AUTORIZADO", S219="PENDIENTE", S219="REDUCIDO", S219="AMPLIADO"),L219&lt;&gt;"HONORARIO" ), CONCATENATE(IF(H219="X","H",H219),"_",IF(OR(P219=5,P219=6),_xlfn.CONCAT(P219,"A"),P219),"_",VLOOKUP(T219,Datos!$B$2:$C$5,2,TRUE)),""))</f>
        <v>H_1_[hasta 3]</v>
      </c>
      <c r="AD219" s="178">
        <f t="shared" si="81"/>
        <v>12582</v>
      </c>
      <c r="AE219" s="82" t="str">
        <f t="shared" si="82"/>
        <v>-</v>
      </c>
      <c r="AF219" s="83" t="str">
        <f t="shared" si="83"/>
        <v>070601</v>
      </c>
      <c r="AG219" s="84"/>
      <c r="AH219" s="85" t="str">
        <f t="shared" si="84"/>
        <v>Corporación de Fomento de la Producción</v>
      </c>
      <c r="AI219" s="82" t="str">
        <f t="shared" si="85"/>
        <v>-</v>
      </c>
      <c r="AJ219" s="82">
        <f t="shared" si="86"/>
        <v>9</v>
      </c>
      <c r="AK219" s="82" t="str">
        <f t="shared" si="87"/>
        <v>-</v>
      </c>
      <c r="AL219" s="82" t="str">
        <f t="shared" si="88"/>
        <v>Identifica este registro como HOMBRE</v>
      </c>
      <c r="AM219" s="82" t="str">
        <f t="shared" si="89"/>
        <v>-</v>
      </c>
      <c r="AN219" s="82" t="str">
        <f t="shared" si="90"/>
        <v>-</v>
      </c>
      <c r="AO219" s="82" t="str">
        <f t="shared" si="91"/>
        <v>-</v>
      </c>
      <c r="AP219" s="57" t="str">
        <f t="shared" si="92"/>
        <v>-</v>
      </c>
      <c r="AQ219" s="86" t="str">
        <f t="shared" si="93"/>
        <v>-</v>
      </c>
      <c r="AR219" s="86" t="str">
        <f>IF(N219="","PRIMER_DIA en blanco",
IF(AND(M219="01",N219&gt;=L_Conversion!$C$118,N219&lt;=L_Conversion!$D$118),"-",
IF(AND(M219="02",N219&gt;=L_Conversion!$C$119,N219&lt;=L_Conversion!$D$119),"-",
IF(AND(M219="03",N219&gt;=L_Conversion!$C$120,N219&lt;=L_Conversion!$D$120),"-",
IF(AND(M219="04",N219&gt;=L_Conversion!$C$121,N219&lt;=L_Conversion!$D$121),"-",
IF(AND(M219="05",N219&gt;=L_Conversion!$C$122,N219&lt;=L_Conversion!$D$122),"-",
IF(AND(M219="06",N219&gt;=L_Conversion!$C$123,N219&lt;=L_Conversion!$D$123),"-",
IF(AND(M219="07",N219&gt;=L_Conversion!$C$124,N219&lt;=L_Conversion!$D$124),"-",
IF(AND(M219="08",N219&gt;=L_Conversion!$C$125,N219&lt;=L_Conversion!$D$125),"-",
IF(AND(M219="09",N219&gt;=L_Conversion!$C$126,N219&lt;=L_Conversion!$D$126),"-",
IF(AND(M219="10",N219&gt;=L_Conversion!$C$127,N219&lt;=L_Conversion!$D$127),"-",
IF(AND(M219="11",N219&gt;=L_Conversion!$C$128,N219&lt;=L_Conversion!$D$128),"-",
IF(AND(M219="12",N219&gt;=L_Conversion!$C$129,N219&lt;=L_Conversion!$D$129),"-",
IF(AND(M219="13",N219&gt;=L_Conversion!$C$116,N219&lt;=L_Conversion!$D$116),"-",
IF(AND(M219="14",N219&gt;=L_Conversion!$C$117,N219&lt;=L_Conversion!$D$117),"-",
"PRIMER_DIA fuera de rango")))))))))))))))</f>
        <v>-</v>
      </c>
      <c r="AS219" s="86" t="str">
        <f t="shared" si="94"/>
        <v>-</v>
      </c>
      <c r="AT219" s="86" t="str">
        <f t="shared" si="95"/>
        <v>-</v>
      </c>
      <c r="AU219" s="86" t="str">
        <f t="shared" si="96"/>
        <v>-</v>
      </c>
      <c r="AV219" s="86" t="str">
        <f t="shared" si="97"/>
        <v>-</v>
      </c>
      <c r="AW219" s="86" t="str">
        <f t="shared" si="98"/>
        <v>-</v>
      </c>
      <c r="AX219" s="86" t="str">
        <f t="shared" si="99"/>
        <v>-</v>
      </c>
      <c r="AY219" s="86" t="str">
        <f t="shared" si="100"/>
        <v>-</v>
      </c>
      <c r="AZ219" s="86" t="str">
        <f t="shared" si="101"/>
        <v>-</v>
      </c>
      <c r="BA219" s="86" t="str">
        <f t="shared" si="102"/>
        <v>-</v>
      </c>
      <c r="BB219" s="86" t="str">
        <f t="shared" si="103"/>
        <v>-</v>
      </c>
      <c r="BC219" s="86" t="str">
        <f t="shared" si="104"/>
        <v>-</v>
      </c>
      <c r="BD219" s="86" t="str">
        <f t="shared" si="105"/>
        <v>-</v>
      </c>
      <c r="BE219" s="86" t="str">
        <f t="shared" si="106"/>
        <v>-</v>
      </c>
      <c r="BF219" s="86" t="str">
        <f t="shared" si="107"/>
        <v>-</v>
      </c>
    </row>
    <row r="220" spans="1:58" x14ac:dyDescent="0.2">
      <c r="A220" s="19" t="s">
        <v>1144</v>
      </c>
      <c r="B220" s="19" t="s">
        <v>886</v>
      </c>
      <c r="C220" s="19">
        <v>17166904</v>
      </c>
      <c r="D220" s="81">
        <v>9</v>
      </c>
      <c r="E220" s="19" t="s">
        <v>1526</v>
      </c>
      <c r="F220" s="19" t="s">
        <v>1205</v>
      </c>
      <c r="G220" s="19" t="s">
        <v>1527</v>
      </c>
      <c r="H220" s="19" t="s">
        <v>1033</v>
      </c>
      <c r="I220" s="19" t="s">
        <v>662</v>
      </c>
      <c r="J220" s="19">
        <v>80</v>
      </c>
      <c r="K220" s="19" t="s">
        <v>563</v>
      </c>
      <c r="L220" s="19" t="s">
        <v>502</v>
      </c>
      <c r="M220" s="19" t="s">
        <v>21</v>
      </c>
      <c r="N220" s="19">
        <v>45713</v>
      </c>
      <c r="O220" s="19">
        <v>3</v>
      </c>
      <c r="P220" s="81">
        <v>1</v>
      </c>
      <c r="Q220" s="19" t="s">
        <v>23</v>
      </c>
      <c r="R220" s="19" t="s">
        <v>11</v>
      </c>
      <c r="S220" s="19" t="s">
        <v>23</v>
      </c>
      <c r="T220" s="19">
        <v>3</v>
      </c>
      <c r="U220" s="19" t="s">
        <v>11</v>
      </c>
      <c r="V220" s="19" t="s">
        <v>19</v>
      </c>
      <c r="W220" s="19" t="s">
        <v>19</v>
      </c>
      <c r="X220" s="19">
        <v>63396</v>
      </c>
      <c r="Y220" s="19" t="s">
        <v>735</v>
      </c>
      <c r="Z220" s="19">
        <v>3</v>
      </c>
      <c r="AA220" s="19">
        <v>63396</v>
      </c>
      <c r="AB220" s="19">
        <v>63396</v>
      </c>
      <c r="AC220" s="178" t="str">
        <f>IF(OR(M220="13",M220="14",P220=8),"",IF(AND(OR(S220="AUTORIZADO", S220="PENDIENTE", S220="REDUCIDO", S220="AMPLIADO"),L220&lt;&gt;"HONORARIO" ), CONCATENATE(IF(H220="X","H",H220),"_",IF(OR(P220=5,P220=6),_xlfn.CONCAT(P220,"A"),P220),"_",VLOOKUP(T220,Datos!$B$2:$C$5,2,TRUE)),""))</f>
        <v>M_1_[hasta 3]</v>
      </c>
      <c r="AD220" s="178">
        <f t="shared" si="81"/>
        <v>126792</v>
      </c>
      <c r="AE220" s="82" t="str">
        <f t="shared" si="82"/>
        <v>-</v>
      </c>
      <c r="AF220" s="83" t="str">
        <f t="shared" si="83"/>
        <v>070606</v>
      </c>
      <c r="AG220" s="84"/>
      <c r="AH220" s="85" t="str">
        <f t="shared" si="84"/>
        <v>Corporación de Fomento de la Producción</v>
      </c>
      <c r="AI220" s="82" t="str">
        <f t="shared" si="85"/>
        <v>-</v>
      </c>
      <c r="AJ220" s="82">
        <f t="shared" si="86"/>
        <v>9</v>
      </c>
      <c r="AK220" s="82" t="str">
        <f t="shared" si="87"/>
        <v>-</v>
      </c>
      <c r="AL220" s="82" t="str">
        <f t="shared" si="88"/>
        <v>Identifica este registro como MUJER</v>
      </c>
      <c r="AM220" s="82" t="str">
        <f t="shared" si="89"/>
        <v>-</v>
      </c>
      <c r="AN220" s="82" t="str">
        <f t="shared" si="90"/>
        <v>-</v>
      </c>
      <c r="AO220" s="82" t="str">
        <f t="shared" si="91"/>
        <v>-</v>
      </c>
      <c r="AP220" s="57" t="str">
        <f t="shared" si="92"/>
        <v>-</v>
      </c>
      <c r="AQ220" s="86" t="str">
        <f t="shared" si="93"/>
        <v>-</v>
      </c>
      <c r="AR220" s="86" t="str">
        <f>IF(N220="","PRIMER_DIA en blanco",
IF(AND(M220="01",N220&gt;=L_Conversion!$C$118,N220&lt;=L_Conversion!$D$118),"-",
IF(AND(M220="02",N220&gt;=L_Conversion!$C$119,N220&lt;=L_Conversion!$D$119),"-",
IF(AND(M220="03",N220&gt;=L_Conversion!$C$120,N220&lt;=L_Conversion!$D$120),"-",
IF(AND(M220="04",N220&gt;=L_Conversion!$C$121,N220&lt;=L_Conversion!$D$121),"-",
IF(AND(M220="05",N220&gt;=L_Conversion!$C$122,N220&lt;=L_Conversion!$D$122),"-",
IF(AND(M220="06",N220&gt;=L_Conversion!$C$123,N220&lt;=L_Conversion!$D$123),"-",
IF(AND(M220="07",N220&gt;=L_Conversion!$C$124,N220&lt;=L_Conversion!$D$124),"-",
IF(AND(M220="08",N220&gt;=L_Conversion!$C$125,N220&lt;=L_Conversion!$D$125),"-",
IF(AND(M220="09",N220&gt;=L_Conversion!$C$126,N220&lt;=L_Conversion!$D$126),"-",
IF(AND(M220="10",N220&gt;=L_Conversion!$C$127,N220&lt;=L_Conversion!$D$127),"-",
IF(AND(M220="11",N220&gt;=L_Conversion!$C$128,N220&lt;=L_Conversion!$D$128),"-",
IF(AND(M220="12",N220&gt;=L_Conversion!$C$129,N220&lt;=L_Conversion!$D$129),"-",
IF(AND(M220="13",N220&gt;=L_Conversion!$C$116,N220&lt;=L_Conversion!$D$116),"-",
IF(AND(M220="14",N220&gt;=L_Conversion!$C$117,N220&lt;=L_Conversion!$D$117),"-",
"PRIMER_DIA fuera de rango")))))))))))))))</f>
        <v>-</v>
      </c>
      <c r="AS220" s="86" t="str">
        <f t="shared" si="94"/>
        <v>-</v>
      </c>
      <c r="AT220" s="86" t="str">
        <f t="shared" si="95"/>
        <v>-</v>
      </c>
      <c r="AU220" s="86" t="str">
        <f t="shared" si="96"/>
        <v>-</v>
      </c>
      <c r="AV220" s="86" t="str">
        <f t="shared" si="97"/>
        <v>-</v>
      </c>
      <c r="AW220" s="86" t="str">
        <f t="shared" si="98"/>
        <v>-</v>
      </c>
      <c r="AX220" s="86" t="str">
        <f t="shared" si="99"/>
        <v>-</v>
      </c>
      <c r="AY220" s="86" t="str">
        <f t="shared" si="100"/>
        <v>-</v>
      </c>
      <c r="AZ220" s="86" t="str">
        <f t="shared" si="101"/>
        <v>-</v>
      </c>
      <c r="BA220" s="86" t="str">
        <f t="shared" si="102"/>
        <v>-</v>
      </c>
      <c r="BB220" s="86" t="str">
        <f t="shared" si="103"/>
        <v>-</v>
      </c>
      <c r="BC220" s="86" t="str">
        <f t="shared" si="104"/>
        <v>-</v>
      </c>
      <c r="BD220" s="86" t="str">
        <f t="shared" si="105"/>
        <v>-</v>
      </c>
      <c r="BE220" s="86" t="str">
        <f t="shared" si="106"/>
        <v>-</v>
      </c>
      <c r="BF220" s="86" t="str">
        <f t="shared" si="107"/>
        <v>-</v>
      </c>
    </row>
    <row r="221" spans="1:58" x14ac:dyDescent="0.2">
      <c r="A221" s="19" t="s">
        <v>1144</v>
      </c>
      <c r="B221" s="19" t="s">
        <v>887</v>
      </c>
      <c r="C221" s="19">
        <v>16514974</v>
      </c>
      <c r="D221" s="81">
        <v>2</v>
      </c>
      <c r="E221" s="19" t="s">
        <v>1528</v>
      </c>
      <c r="F221" s="19" t="s">
        <v>1173</v>
      </c>
      <c r="G221" s="19" t="s">
        <v>1529</v>
      </c>
      <c r="H221" s="19" t="s">
        <v>663</v>
      </c>
      <c r="I221" s="19" t="s">
        <v>662</v>
      </c>
      <c r="J221" s="19">
        <v>80</v>
      </c>
      <c r="K221" s="19" t="s">
        <v>563</v>
      </c>
      <c r="L221" s="19" t="s">
        <v>502</v>
      </c>
      <c r="M221" s="19" t="s">
        <v>21</v>
      </c>
      <c r="N221" s="19">
        <v>45713</v>
      </c>
      <c r="O221" s="19">
        <v>7</v>
      </c>
      <c r="P221" s="81">
        <v>1</v>
      </c>
      <c r="Q221" s="19" t="s">
        <v>23</v>
      </c>
      <c r="R221" s="19" t="s">
        <v>11</v>
      </c>
      <c r="S221" s="19" t="s">
        <v>23</v>
      </c>
      <c r="T221" s="19">
        <v>7</v>
      </c>
      <c r="U221" s="19" t="s">
        <v>11</v>
      </c>
      <c r="V221" s="19" t="s">
        <v>11</v>
      </c>
      <c r="W221" s="19" t="s">
        <v>19</v>
      </c>
      <c r="X221" s="19">
        <v>354438</v>
      </c>
      <c r="Y221" s="19" t="s">
        <v>735</v>
      </c>
      <c r="Z221" s="19">
        <v>7</v>
      </c>
      <c r="AA221" s="19">
        <v>354438</v>
      </c>
      <c r="AB221" s="19">
        <v>354438</v>
      </c>
      <c r="AC221" s="178" t="str">
        <f>IF(OR(M221="13",M221="14",P221=8),"",IF(AND(OR(S221="AUTORIZADO", S221="PENDIENTE", S221="REDUCIDO", S221="AMPLIADO"),L221&lt;&gt;"HONORARIO" ), CONCATENATE(IF(H221="X","H",H221),"_",IF(OR(P221=5,P221=6),_xlfn.CONCAT(P221,"A"),P221),"_",VLOOKUP(T221,Datos!$B$2:$C$5,2,TRUE)),""))</f>
        <v>H_1_[4 a 10]</v>
      </c>
      <c r="AD221" s="178">
        <f t="shared" ref="AD221:AD284" si="108">IF(AC221="",0,AA221+AB221)</f>
        <v>708876</v>
      </c>
      <c r="AE221" s="82" t="str">
        <f t="shared" ref="AE221:AE284" si="109">IF(A221="","Celda vacía",IF(A221="L","-","Revisar"))</f>
        <v>-</v>
      </c>
      <c r="AF221" s="83" t="str">
        <f t="shared" ref="AF221:AF284" si="110">IF(B221="","Celda vacía",IF(LEN(B221)=4,REPLACE(B221,1,6,CONCATENATE("00",B221)),IF(LEN(B221)=5,REPLACE(B221,1,6,CONCATENATE("0",B221)),IF(LEN(B221)=6,REPLACE(B221,1,6,B221),IF(AND(LEN(B221)&gt;6,OR(LEFT(B221,4)="1202", LEFT(B221,4)="1703")),REPLACE(B221,1,LEN(B221),B221),"Revisar")))))</f>
        <v>070607</v>
      </c>
      <c r="AG221" s="84"/>
      <c r="AH221" s="85" t="str">
        <f t="shared" ref="AH221:AH284" si="111">IF(B221="","Celda Vacía",IF(ISERROR(IF(B221="","",VLOOKUP(B221,Codigo,3,0))),"Corregir código servicio",IF(B221="","",VLOOKUP(B221,Codigo,3,0))))</f>
        <v>Corporación de Fomento de la Producción</v>
      </c>
      <c r="AI221" s="82" t="str">
        <f t="shared" ref="AI221:AI284" si="112">IF(C221="","Celda vacía",IF(C221&gt;1000000,"-","Revisar con Edad"))</f>
        <v>-</v>
      </c>
      <c r="AJ221" s="82">
        <f t="shared" ref="AJ221:AJ284" si="113">IF(D221="","Celda vacía",IF(IF(IF(LEN(C221)=6,(11-((RIGHT(C221,1)*2+MID(C221,5,1)*3+MID(C221,4,1)*4+MID(C221,3,1)*5+MID(C221,2,1)*6+LEFT(C221,1)*7)-(INT((RIGHT(C221,1)*2+MID(C221,5,1)*3+MID(C221,4,1)*4+MID(C221,3,1)*5+MID(C221,2,1)*6+LEFT(C221,1)*7)/11)*11))),IF(LEN(C221)=7,(11-((RIGHT(C221,1)*2+MID(C221,6,1)*3+MID(C221,5,1)*4+MID(C221,4,1)*5+MID(C221,3,1)*6+MID(C221,2,1)*7+LEFT(C221,1)*2)-(INT((RIGHT(C221,1)*2+MID(C221,6,1)*3+MID(C221,5,1)*4+MID(C221,4,1)*5+MID(C221,3,1)*6+MID(C221,2,1)*7+LEFT(C221,1)*2)/11)*11))),(11-((RIGHT(C221,1)*2+MID(C221,7,1)*3+MID(C221,6,1)*4+MID(C221,5,1)*5+MID(C221,4,1)*6+MID(C221,3,1)*7+MID(C221,2,1)*2+LEFT(C221,1)*3)-(INT((RIGHT(C221,1)*2+MID(C221,7,1)*3+MID(C221,6,1)*4+MID(C221,5,1)*5+MID(C221,4,1)*6+MID(C221,3,1)*7+MID(C221,2,1)*2+LEFT(C221,1)*3)/11)*11)))))=11,0,IF(LEN(C221)=6,(11-((RIGHT(C221,1)*2+MID(C221,5,1)*3+MID(C221,4,1)*4+MID(C221,3,1)*5+MID(C221,2,1)*6+LEFT(C221,1)*7)-(INT((RIGHT(C221,1)*2+MID(C221,5,1)*3+MID(C221,4,1)*4+MID(C221,3,1)*5+MID(C221,2,1)*6+LEFT(C221,1)*7)/11)*11))),IF(LEN(C221)=7,(11-((RIGHT(C221,1)*2+MID(C221,6,1)*3+MID(C221,5,1)*4+MID(C221,4,1)*5+MID(C221,3,1)*6+MID(C221,2,1)*7+LEFT(C221,1)*2)-(INT((RIGHT(C221,1)*2+MID(C221,6,1)*3+MID(C221,5,1)*4+MID(C221,4,1)*5+MID(C221,3,1)*6+MID(C221,2,1)*7+LEFT(C221,1)*2)/11)*11))),(11-((RIGHT(C221,1)*2+MID(C221,7,1)*3+MID(C221,6,1)*4+MID(C221,5,1)*5+MID(C221,4,1)*6+MID(C221,3,1)*7+MID(C221,2,1)*2+LEFT(C221,1)*3)-(INT((RIGHT(C221,1)*2+MID(C221,7,1)*3+MID(C221,6,1)*4+MID(C221,5,1)*5+MID(C221,4,1)*6+MID(C221,3,1)*7+MID(C221,2,1)*2+LEFT(C221,1)*3)/11)*11))))))=10,"K",IF(IF(LEN(C221)=6,(11-((RIGHT(C221,1)*2+MID(C221,5,1)*3+MID(C221,4,1)*4+MID(C221,3,1)*5+MID(C221,2,1)*6+LEFT(C221,1)*7)-(INT((RIGHT(C221,1)*2+MID(C221,5,1)*3+MID(C221,4,1)*4+MID(C221,3,1)*5+MID(C221,2,1)*6+LEFT(C221,1)*7)/11)*11))),IF(LEN(C221)=7,(11-((RIGHT(C221,1)*2+MID(C221,6,1)*3+MID(C221,5,1)*4+MID(C221,4,1)*5+MID(C221,3,1)*6+MID(C221,2,1)*7+LEFT(C221,1)*2)-(INT((RIGHT(C221,1)*2+MID(C221,6,1)*3+MID(C221,5,1)*4+MID(C221,4,1)*5+MID(C221,3,1)*6+MID(C221,2,1)*7+LEFT(C221,1)*2)/11)*11))),(11-((RIGHT(C221,1)*2+MID(C221,7,1)*3+MID(C221,6,1)*4+MID(C221,5,1)*5+MID(C221,4,1)*6+MID(C221,3,1)*7+MID(C221,2,1)*2+LEFT(C221,1)*3)-(INT((RIGHT(C221,1)*2+MID(C221,7,1)*3+MID(C221,6,1)*4+MID(C221,5,1)*5+MID(C221,4,1)*6+MID(C221,3,1)*7+MID(C221,2,1)*2+LEFT(C221,1)*3)/11)*11)))))=11,0,IF(LEN(C221)=6,(11-((RIGHT(C221,1)*2+MID(C221,5,1)*3+MID(C221,4,1)*4+MID(C221,3,1)*5+MID(C221,2,1)*6+LEFT(C221,1)*7)-(INT((RIGHT(C221,1)*2+MID(C221,5,1)*3+MID(C221,4,1)*4+MID(C221,3,1)*5+MID(C221,2,1)*6+LEFT(C221,1)*7)/11)*11))),IF(LEN(C221)=7,(11-((RIGHT(C221,1)*2+MID(C221,6,1)*3+MID(C221,5,1)*4+MID(C221,4,1)*5+MID(C221,3,1)*6+MID(C221,2,1)*7+LEFT(C221,1)*2)-(INT((RIGHT(C221,1)*2+MID(C221,6,1)*3+MID(C221,5,1)*4+MID(C221,4,1)*5+MID(C221,3,1)*6+MID(C221,2,1)*7+LEFT(C221,1)*2)/11)*11))),(11-((RIGHT(C221,1)*2+MID(C221,7,1)*3+MID(C221,6,1)*4+MID(C221,5,1)*5+MID(C221,4,1)*6+MID(C221,3,1)*7+MID(C221,2,1)*2+LEFT(C221,1)*3)-(INT((RIGHT(C221,1)*2+MID(C221,7,1)*3+MID(C221,6,1)*4+MID(C221,5,1)*5+MID(C221,4,1)*6+MID(C221,3,1)*7+MID(C221,2,1)*2+LEFT(C221,1)*3)/11)*11))))))))</f>
        <v>2</v>
      </c>
      <c r="AK221" s="82" t="str">
        <f t="shared" ref="AK221:AK284" si="114">IF(C221="","Celda vacía",IF(C221="E","-",IF(IF(AJ221=11,0,IF(AJ221=10,"K",AJ221))=D221,"-","Corregir RUN")))</f>
        <v>-</v>
      </c>
      <c r="AL221" s="82" t="str">
        <f t="shared" ref="AL221:AL284" si="115">IF(H221="","Celda vacía",IF(OR(H221="M",H221="H",H221="X"),  IF(H221="M", "Identifica este registro como MUJER",  IF(H221="H","Identifica este registro como HOMBRE", IF(H221="X","Identifica este registro como NO BINARIO"))),  "Validar con Tabla N°01")   )</f>
        <v>Identifica este registro como HOMBRE</v>
      </c>
      <c r="AM221" s="82" t="str">
        <f t="shared" ref="AM221:AM284" si="116">IF(I221="","Celda vacía",IF(ISERROR(VLOOKUP(I221,Tabla_27_Matriz_Base,1,0)),"Revisar","-"))</f>
        <v>-</v>
      </c>
      <c r="AN221" s="82" t="str">
        <f t="shared" ref="AN221:AN284" si="117">IF(J221="","Celda vacía",IF(ISERROR(VLOOKUP(J221,Tabla_04_Sist.Rem,1,0)),"Revisar","-"))</f>
        <v>-</v>
      </c>
      <c r="AO221" s="82" t="str">
        <f t="shared" ref="AO221:AO284" si="118">IF(J221="","SIST_REM vacío, no permite validar estamento",IF(OR(J221=10,J221=40,J221=60,J221=70),IF(ISERROR(VLOOKUP(K221,Tabla_06_10_40_60_70_EUS,1,0)),"Revisar. Estamento no corresponde a sist. Rem.","-"),
IF(AND(A221="l",J221=11,K221="DIRECTIVO"),"Dual",
IF(OR(J221=11,J221=12),IF(ISERROR(VLOOKUP(K221,Tabla_06_11_12_15076_19664,1,0)),"Revisar. Estamento no corresponde a sist. Rem.","-"),
IF(J221=13,IF(ISERROR(VLOOKUP(K221,Tabla_06_13,1,0)),"Revisar. Estamento no corresponde a sist. Rem.","-"),
IF(J221=14,IF(ISERROR(VLOOKUP(K221,Tabla_06_14,1,0)),"Revisar. Estamento no corresponde a sist. Rem.","-"),
IF(J221=15,IF(ISERROR(VLOOKUP(K221,Tabla_06_15,1,0)),"Revisar. Estamento no corresponde a sist. Rem.","-"),
IF(OR(J221=90),IF(ISERROR(VLOOKUP(K221,Tabla_06_90_Personal_Fuera_de_Dotacion,1,0)),"Revisar. Estamento no corresponde a sist. Rem.","-"),
IF(J221=61,IF(ISERROR(VLOOKUP(K221,Tabla_06_DFL29_61_Experimentales,1,0)),"Revisar. Estamento no corresponde a sist. Rem.","-"),IF(J221=20,IF(ISERROR(VLOOKUP(K221,Tabla_06_20_Fiscalizadores,1,0)),"Revisar. Estamento no corresponde a sist. Rem.","-"),IF(J221=80,IF(ISERROR(VLOOKUP(K221,Tabla_06_80_Codigo_del_Trabajo,1,0)),"Revisar. Estamento no corresponde a sist. Rem.","-"),                    IF(J221=30,IF(ISERROR(VLOOKUP(K221,Tabla_06_30_Poder_Judicial,1,0)),"Revisar. Estamento no corresponde a sist. Rem.","-"),IF(ISERROR(VLOOKUP(K221,Tabla_06_50_Ministerio_Publico,1,0)),"Revisar","-")))))))))))))</f>
        <v>-</v>
      </c>
      <c r="AP221" s="57" t="str">
        <f t="shared" ref="AP221:AP284" si="119">IF(L221="","Celda vacía",IF(ISERROR(VLOOKUP(L221,Tabla_Personal,1,0)),"Revisar","-"))</f>
        <v>-</v>
      </c>
      <c r="AQ221" s="86" t="str">
        <f t="shared" ref="AQ221:AQ284" si="120">IF(M221="","Celda vacía",IF(ISERROR(VLOOKUP(M221,Tabla_01_Mes,1,0)),"Revisar","-"))</f>
        <v>-</v>
      </c>
      <c r="AR221" s="86" t="str">
        <f>IF(N221="","PRIMER_DIA en blanco",
IF(AND(M221="01",N221&gt;=L_Conversion!$C$118,N221&lt;=L_Conversion!$D$118),"-",
IF(AND(M221="02",N221&gt;=L_Conversion!$C$119,N221&lt;=L_Conversion!$D$119),"-",
IF(AND(M221="03",N221&gt;=L_Conversion!$C$120,N221&lt;=L_Conversion!$D$120),"-",
IF(AND(M221="04",N221&gt;=L_Conversion!$C$121,N221&lt;=L_Conversion!$D$121),"-",
IF(AND(M221="05",N221&gt;=L_Conversion!$C$122,N221&lt;=L_Conversion!$D$122),"-",
IF(AND(M221="06",N221&gt;=L_Conversion!$C$123,N221&lt;=L_Conversion!$D$123),"-",
IF(AND(M221="07",N221&gt;=L_Conversion!$C$124,N221&lt;=L_Conversion!$D$124),"-",
IF(AND(M221="08",N221&gt;=L_Conversion!$C$125,N221&lt;=L_Conversion!$D$125),"-",
IF(AND(M221="09",N221&gt;=L_Conversion!$C$126,N221&lt;=L_Conversion!$D$126),"-",
IF(AND(M221="10",N221&gt;=L_Conversion!$C$127,N221&lt;=L_Conversion!$D$127),"-",
IF(AND(M221="11",N221&gt;=L_Conversion!$C$128,N221&lt;=L_Conversion!$D$128),"-",
IF(AND(M221="12",N221&gt;=L_Conversion!$C$129,N221&lt;=L_Conversion!$D$129),"-",
IF(AND(M221="13",N221&gt;=L_Conversion!$C$116,N221&lt;=L_Conversion!$D$116),"-",
IF(AND(M221="14",N221&gt;=L_Conversion!$C$117,N221&lt;=L_Conversion!$D$117),"-",
"PRIMER_DIA fuera de rango")))))))))))))))</f>
        <v>-</v>
      </c>
      <c r="AS221" s="86" t="str">
        <f t="shared" ref="AS221:AS284" si="121">IF(O221="","Celda vacía",IF(AND(ISERROR(VLOOKUP(P221,Tabla_18_Tipos_licencias,1,FALSE))=FALSE,O221&gt;=0,O221&lt;=365),IF(P221=8,IF(H221="M",IF(ISERROR(VLOOKUP(O221,Dias_Licencia_Tipo_8_M,1,0)),"Revisar días licencia tipo 8","-"),IF(ISERROR(VLOOKUP(O221,Dias_licencia_tipo_8_H,1,0)),"Revisar días licencia tipo 8","-")),"-"),"Se debe revisar los campos TIPO_LM y N_DIAS"))</f>
        <v>-</v>
      </c>
      <c r="AT221" s="86" t="str">
        <f t="shared" ref="AT221:AT284" si="122">IF(P221="","Celda vacía",IF(ISERROR(VLOOKUP(P221,Tabla_18_Tipos_licencias,1,FALSE))=FALSE,IF(H221="M","-",IF(P221=7,"Revisar","-")),"Revisar"))</f>
        <v>-</v>
      </c>
      <c r="AU221" s="86" t="str">
        <f t="shared" ref="AU221:AU284" si="123">IF(Q221="","Celda vacía",IF(AND(OR(L221="HAG",L221="HONORARIO"),OR(Q221="AUTORIZADO",Q221="REDUCIDO",Q221="RECHAZADO",Q221="PENDIENTE",Q221="AMPLIADO")),"Revisar Calidad Jurídica",IF(AND(OR(L221="HAG",L221="HONORARIO"),Q221="NC"),"-",IF(ISERROR(VLOOKUP(Q221,Tabla_04_Estado_Resolucion,1,0)),"Revisar",IF(AND(Q221="PENDIENTE",($BG$1-N221)&gt;60),"Validar estado PENDIENTE",  IF(AND(OR(L221="CONTRATA",L221="PLANTA", L221="CT", L221="JP", L221="JORNAL", L221="CONTRATA_FD", L221="CT_FD", L221="ADSCRITO", L221="LGN", L221="VIGILANTE", L221="BECARIOS", L221="PLANTA_FD"),Q221&lt;&gt;"NC"),"-","Revisar Calidad Jurídica"))))))</f>
        <v>-</v>
      </c>
      <c r="AV221" s="86" t="str">
        <f t="shared" ref="AV221:AV284" si="124">IF(R221="","Celda vacía",IF(AND(OR(Q221="AUTORIZADO",Q221="PENDIENTE",Q221="NC",Q221="AMPLIADO"),R221="N"),"-",IF(AND(OR(Q221="REDUCIDO",Q221="RECHAZADO"),OR(R221="S",R221="N")),"-","Revisar")))</f>
        <v>-</v>
      </c>
      <c r="AW221" s="86" t="str">
        <f t="shared" ref="AW221:AW284" si="125">IF(Q221="","Celda vacía",IF(AND(R221="N",Q221=S221),"-",IF(AND(S221="PENDIENTE",($BG$1-N221)&gt;60),"Validar estado PENDIENTE",IF(AND(R221="S",OR(S221="AUTORIZADO",S221="PENDIENTE"),T221=O221),"-",IF(AND(R221="S",S221="REDUCIDO",T221&lt;O221,T221&gt;0),"-",IF(AND(R221="S",S221="RECHAZADO",T221=0),"-",IF(AND(Q221="NC",S221="NC",T221=O221),"-","Revisar")))))))</f>
        <v>-</v>
      </c>
      <c r="AX221" s="86" t="str">
        <f t="shared" ref="AX221:AX284" si="126">IF(T221="","Celda Vacía",IF(AND(OR(S221="AUTORIZADO",S221="PENDIENTE",S221="NC"),O221=T221),"-",IF(AND(S221="REDUCIDO",T221&gt;0,T221&lt;O221),"-",IF(AND(S221="RECHAZADO",T221=0),"-",   IF(AND(S221="AMPLIADO",T221&gt;O221),"-",       "Revisar" )))))</f>
        <v>-</v>
      </c>
      <c r="AY221" s="86" t="str">
        <f t="shared" ref="AY221:AY284" si="127">IF(U221="","Celda vacía",IF(OR(U221="S",U221="N"),"-","Revisar"))</f>
        <v>-</v>
      </c>
      <c r="AZ221" s="86" t="str">
        <f t="shared" ref="AZ221:AZ284" si="128">IF(V221="","Celda vacía",IF(OR(V221="S",V221="N"),"-","Revisar"))</f>
        <v>-</v>
      </c>
      <c r="BA221" s="86" t="str">
        <f t="shared" ref="BA221:BA284" si="129">IF(W221="","Celda vacía",IF(OR(W221="S",W221="N"),"-","Revisar"))</f>
        <v>-</v>
      </c>
      <c r="BB221" s="86" t="str">
        <f t="shared" ref="BB221:BB284" si="130">IF(X221="","Celda Vacia",IF(  OR(          AND(X221=0,W221="S"),AND(X221&lt;&gt;0,W221="N")),"Revisar valor del campo MONTO_SUB","-"))</f>
        <v>-</v>
      </c>
      <c r="BC221" s="86" t="str">
        <f t="shared" ref="BC221:BC284" si="131">IF(Y221="","Celda Vacia",IF(ISERROR(VLOOKUP(Y221,Tabla_33_estado_recuperacion,1,FALSE)),"Se debe corregir el valor según Tabla Nro 33",IF(Y221="SDR",IF(OR(S221="RECHAZADO",W221="N"),"-","Se debe revisar  ESTADO SDR"),IF(Y221="PEN",IF(OR(S221="AUTORIZADO",S221="REDUCIDO",S221="PENDIENTE"),"-","Se debe revisar ESTADO PEN"),IF(AND(OR(W221="S",W221="N"),OR(Y221="TOT",Y221="PAR"),OR(S221="AUTORIZADO",S221="REDUCIDO")),"-","Revisar ER2 Y ESTADO_REC")))))</f>
        <v>-</v>
      </c>
      <c r="BD221" s="86" t="str">
        <f t="shared" ref="BD221:BD284" si="132">IF(Z221="","Celda Vacia", IF(Z221&gt;T221,"Dias recuperados no puede ser mayor a dias autorizados", IF(ISNUMBER(Z221)=TRUE,IF(Z221=0,IF(OR(Y221="SDR",Y221="PEN"),"-",IF(AND(T221&lt;4,OR(Y221="TOT",Y221="PAR")),"-","Se debe revisar los Campos N_DIAS_REC y ESTADO_REC")),IF(AND(Z221&gt;0,Z221&lt;366,OR(Y221="TOT",Y221="PAR")),"-","Se debe revisar los campos ESTADO_REC y N_DIAS_REC")),"Valor del campo N_DIAS_REC no es numérico"))    )</f>
        <v>-</v>
      </c>
      <c r="BE221" s="86" t="str">
        <f t="shared" ref="BE221:BE284" si="133">IF(AA221="","Celda vacia",
IF( AND(AA221=0,(OR(Y221="PEN",Y221="SDR"))),"-",
IF(AND(T221&lt;4,OR(P221="5A",P221="5B",P221="6A",P221="6B"),AA221&gt;=0),"-",
IF(AND(T221&lt;4,P221&lt;&gt;"5A",P221&lt;&gt;"5B",P221&lt;&gt;"6A",P221&lt;&gt;"6B",AA221=0),"-",
IF(AND(T221&lt;4,P221&lt;&gt;"5A",P221&lt;&gt;"5B",P221&lt;&gt;"6A",P221&lt;&gt;"6B",V221="S",AA221&gt;=0),"-",
IF(AND(T221&gt;=4,AA221&gt;0, OR(Y221="TOT",Y221="PAR")),"-",
"Revisar el tipo de licencia medica, dias de licencia para el monto de recuperación declarado"))))))</f>
        <v>-</v>
      </c>
      <c r="BF221" s="86" t="str">
        <f t="shared" ref="BF221:BF284" si="134">IF(AB221="","Celda vacia",IF(ISNUMBER(AB221)=TRUE,IF(AB221=0,IF(OR(Y221="PEN",Y221="SDR"),"-","revisar "),IF(OR(Y221="TOT",Y221="PAR"),"-","Revisar")),"Valor del campo no es numérico"))</f>
        <v>-</v>
      </c>
    </row>
    <row r="222" spans="1:58" x14ac:dyDescent="0.2">
      <c r="A222" s="19" t="s">
        <v>1144</v>
      </c>
      <c r="B222" s="19" t="s">
        <v>76</v>
      </c>
      <c r="C222" s="19">
        <v>14160812</v>
      </c>
      <c r="D222" s="81">
        <v>6</v>
      </c>
      <c r="E222" s="19" t="s">
        <v>1506</v>
      </c>
      <c r="F222" s="19" t="s">
        <v>1173</v>
      </c>
      <c r="G222" s="19" t="s">
        <v>1530</v>
      </c>
      <c r="H222" s="19" t="s">
        <v>1033</v>
      </c>
      <c r="I222" s="19" t="s">
        <v>662</v>
      </c>
      <c r="J222" s="19">
        <v>80</v>
      </c>
      <c r="K222" s="19" t="s">
        <v>563</v>
      </c>
      <c r="L222" s="19" t="s">
        <v>502</v>
      </c>
      <c r="M222" s="19" t="s">
        <v>21</v>
      </c>
      <c r="N222" s="19">
        <v>45713</v>
      </c>
      <c r="O222" s="19">
        <v>11</v>
      </c>
      <c r="P222" s="81">
        <v>1</v>
      </c>
      <c r="Q222" s="19" t="s">
        <v>23</v>
      </c>
      <c r="R222" s="19" t="s">
        <v>11</v>
      </c>
      <c r="S222" s="19" t="s">
        <v>23</v>
      </c>
      <c r="T222" s="19">
        <v>11</v>
      </c>
      <c r="U222" s="19" t="s">
        <v>11</v>
      </c>
      <c r="V222" s="19" t="s">
        <v>11</v>
      </c>
      <c r="W222" s="19" t="s">
        <v>19</v>
      </c>
      <c r="X222" s="19">
        <v>1016039</v>
      </c>
      <c r="Y222" s="19" t="s">
        <v>735</v>
      </c>
      <c r="Z222" s="19">
        <v>11</v>
      </c>
      <c r="AA222" s="19">
        <v>1016039</v>
      </c>
      <c r="AB222" s="19">
        <v>1016039</v>
      </c>
      <c r="AC222" s="178" t="str">
        <f>IF(OR(M222="13",M222="14",P222=8),"",IF(AND(OR(S222="AUTORIZADO", S222="PENDIENTE", S222="REDUCIDO", S222="AMPLIADO"),L222&lt;&gt;"HONORARIO" ), CONCATENATE(IF(H222="X","H",H222),"_",IF(OR(P222=5,P222=6),_xlfn.CONCAT(P222,"A"),P222),"_",VLOOKUP(T222,Datos!$B$2:$C$5,2,TRUE)),""))</f>
        <v>M_1_[11 +]</v>
      </c>
      <c r="AD222" s="178">
        <f t="shared" si="108"/>
        <v>2032078</v>
      </c>
      <c r="AE222" s="82" t="str">
        <f t="shared" si="109"/>
        <v>-</v>
      </c>
      <c r="AF222" s="83" t="str">
        <f t="shared" si="110"/>
        <v>070601</v>
      </c>
      <c r="AG222" s="84"/>
      <c r="AH222" s="85" t="str">
        <f t="shared" si="111"/>
        <v>Corporación de Fomento de la Producción</v>
      </c>
      <c r="AI222" s="82" t="str">
        <f t="shared" si="112"/>
        <v>-</v>
      </c>
      <c r="AJ222" s="82">
        <f t="shared" si="113"/>
        <v>6</v>
      </c>
      <c r="AK222" s="82" t="str">
        <f t="shared" si="114"/>
        <v>-</v>
      </c>
      <c r="AL222" s="82" t="str">
        <f t="shared" si="115"/>
        <v>Identifica este registro como MUJER</v>
      </c>
      <c r="AM222" s="82" t="str">
        <f t="shared" si="116"/>
        <v>-</v>
      </c>
      <c r="AN222" s="82" t="str">
        <f t="shared" si="117"/>
        <v>-</v>
      </c>
      <c r="AO222" s="82" t="str">
        <f t="shared" si="118"/>
        <v>-</v>
      </c>
      <c r="AP222" s="57" t="str">
        <f t="shared" si="119"/>
        <v>-</v>
      </c>
      <c r="AQ222" s="86" t="str">
        <f t="shared" si="120"/>
        <v>-</v>
      </c>
      <c r="AR222" s="86" t="str">
        <f>IF(N222="","PRIMER_DIA en blanco",
IF(AND(M222="01",N222&gt;=L_Conversion!$C$118,N222&lt;=L_Conversion!$D$118),"-",
IF(AND(M222="02",N222&gt;=L_Conversion!$C$119,N222&lt;=L_Conversion!$D$119),"-",
IF(AND(M222="03",N222&gt;=L_Conversion!$C$120,N222&lt;=L_Conversion!$D$120),"-",
IF(AND(M222="04",N222&gt;=L_Conversion!$C$121,N222&lt;=L_Conversion!$D$121),"-",
IF(AND(M222="05",N222&gt;=L_Conversion!$C$122,N222&lt;=L_Conversion!$D$122),"-",
IF(AND(M222="06",N222&gt;=L_Conversion!$C$123,N222&lt;=L_Conversion!$D$123),"-",
IF(AND(M222="07",N222&gt;=L_Conversion!$C$124,N222&lt;=L_Conversion!$D$124),"-",
IF(AND(M222="08",N222&gt;=L_Conversion!$C$125,N222&lt;=L_Conversion!$D$125),"-",
IF(AND(M222="09",N222&gt;=L_Conversion!$C$126,N222&lt;=L_Conversion!$D$126),"-",
IF(AND(M222="10",N222&gt;=L_Conversion!$C$127,N222&lt;=L_Conversion!$D$127),"-",
IF(AND(M222="11",N222&gt;=L_Conversion!$C$128,N222&lt;=L_Conversion!$D$128),"-",
IF(AND(M222="12",N222&gt;=L_Conversion!$C$129,N222&lt;=L_Conversion!$D$129),"-",
IF(AND(M222="13",N222&gt;=L_Conversion!$C$116,N222&lt;=L_Conversion!$D$116),"-",
IF(AND(M222="14",N222&gt;=L_Conversion!$C$117,N222&lt;=L_Conversion!$D$117),"-",
"PRIMER_DIA fuera de rango")))))))))))))))</f>
        <v>-</v>
      </c>
      <c r="AS222" s="86" t="str">
        <f t="shared" si="121"/>
        <v>-</v>
      </c>
      <c r="AT222" s="86" t="str">
        <f t="shared" si="122"/>
        <v>-</v>
      </c>
      <c r="AU222" s="86" t="str">
        <f t="shared" si="123"/>
        <v>-</v>
      </c>
      <c r="AV222" s="86" t="str">
        <f t="shared" si="124"/>
        <v>-</v>
      </c>
      <c r="AW222" s="86" t="str">
        <f t="shared" si="125"/>
        <v>-</v>
      </c>
      <c r="AX222" s="86" t="str">
        <f t="shared" si="126"/>
        <v>-</v>
      </c>
      <c r="AY222" s="86" t="str">
        <f t="shared" si="127"/>
        <v>-</v>
      </c>
      <c r="AZ222" s="86" t="str">
        <f t="shared" si="128"/>
        <v>-</v>
      </c>
      <c r="BA222" s="86" t="str">
        <f t="shared" si="129"/>
        <v>-</v>
      </c>
      <c r="BB222" s="86" t="str">
        <f t="shared" si="130"/>
        <v>-</v>
      </c>
      <c r="BC222" s="86" t="str">
        <f t="shared" si="131"/>
        <v>-</v>
      </c>
      <c r="BD222" s="86" t="str">
        <f t="shared" si="132"/>
        <v>-</v>
      </c>
      <c r="BE222" s="86" t="str">
        <f t="shared" si="133"/>
        <v>-</v>
      </c>
      <c r="BF222" s="86" t="str">
        <f t="shared" si="134"/>
        <v>-</v>
      </c>
    </row>
    <row r="223" spans="1:58" x14ac:dyDescent="0.2">
      <c r="A223" s="19" t="s">
        <v>1144</v>
      </c>
      <c r="B223" s="19" t="s">
        <v>76</v>
      </c>
      <c r="C223" s="19">
        <v>14104719</v>
      </c>
      <c r="D223" s="81">
        <v>1</v>
      </c>
      <c r="E223" s="19" t="s">
        <v>1531</v>
      </c>
      <c r="F223" s="19" t="s">
        <v>1369</v>
      </c>
      <c r="G223" s="19" t="s">
        <v>1532</v>
      </c>
      <c r="H223" s="19" t="s">
        <v>1033</v>
      </c>
      <c r="I223" s="19" t="s">
        <v>662</v>
      </c>
      <c r="J223" s="19">
        <v>80</v>
      </c>
      <c r="K223" s="19" t="s">
        <v>563</v>
      </c>
      <c r="L223" s="19" t="s">
        <v>502</v>
      </c>
      <c r="M223" s="19" t="s">
        <v>21</v>
      </c>
      <c r="N223" s="19">
        <v>45714</v>
      </c>
      <c r="O223" s="19">
        <v>1</v>
      </c>
      <c r="P223" s="81">
        <v>1</v>
      </c>
      <c r="Q223" s="19" t="s">
        <v>23</v>
      </c>
      <c r="R223" s="19" t="s">
        <v>11</v>
      </c>
      <c r="S223" s="19" t="s">
        <v>23</v>
      </c>
      <c r="T223" s="19">
        <v>1</v>
      </c>
      <c r="U223" s="19" t="s">
        <v>11</v>
      </c>
      <c r="V223" s="19" t="s">
        <v>19</v>
      </c>
      <c r="W223" s="19" t="s">
        <v>19</v>
      </c>
      <c r="X223" s="19">
        <v>20716</v>
      </c>
      <c r="Y223" s="19" t="s">
        <v>735</v>
      </c>
      <c r="Z223" s="19">
        <v>1</v>
      </c>
      <c r="AA223" s="19">
        <v>20716</v>
      </c>
      <c r="AB223" s="19">
        <v>20716</v>
      </c>
      <c r="AC223" s="178" t="str">
        <f>IF(OR(M223="13",M223="14",P223=8),"",IF(AND(OR(S223="AUTORIZADO", S223="PENDIENTE", S223="REDUCIDO", S223="AMPLIADO"),L223&lt;&gt;"HONORARIO" ), CONCATENATE(IF(H223="X","H",H223),"_",IF(OR(P223=5,P223=6),_xlfn.CONCAT(P223,"A"),P223),"_",VLOOKUP(T223,Datos!$B$2:$C$5,2,TRUE)),""))</f>
        <v>M_1_[hasta 3]</v>
      </c>
      <c r="AD223" s="178">
        <f t="shared" si="108"/>
        <v>41432</v>
      </c>
      <c r="AE223" s="82" t="str">
        <f t="shared" si="109"/>
        <v>-</v>
      </c>
      <c r="AF223" s="83" t="str">
        <f t="shared" si="110"/>
        <v>070601</v>
      </c>
      <c r="AG223" s="84"/>
      <c r="AH223" s="85" t="str">
        <f t="shared" si="111"/>
        <v>Corporación de Fomento de la Producción</v>
      </c>
      <c r="AI223" s="82" t="str">
        <f t="shared" si="112"/>
        <v>-</v>
      </c>
      <c r="AJ223" s="82">
        <f t="shared" si="113"/>
        <v>1</v>
      </c>
      <c r="AK223" s="82" t="str">
        <f t="shared" si="114"/>
        <v>-</v>
      </c>
      <c r="AL223" s="82" t="str">
        <f t="shared" si="115"/>
        <v>Identifica este registro como MUJER</v>
      </c>
      <c r="AM223" s="82" t="str">
        <f t="shared" si="116"/>
        <v>-</v>
      </c>
      <c r="AN223" s="82" t="str">
        <f t="shared" si="117"/>
        <v>-</v>
      </c>
      <c r="AO223" s="82" t="str">
        <f t="shared" si="118"/>
        <v>-</v>
      </c>
      <c r="AP223" s="57" t="str">
        <f t="shared" si="119"/>
        <v>-</v>
      </c>
      <c r="AQ223" s="86" t="str">
        <f t="shared" si="120"/>
        <v>-</v>
      </c>
      <c r="AR223" s="86" t="str">
        <f>IF(N223="","PRIMER_DIA en blanco",
IF(AND(M223="01",N223&gt;=L_Conversion!$C$118,N223&lt;=L_Conversion!$D$118),"-",
IF(AND(M223="02",N223&gt;=L_Conversion!$C$119,N223&lt;=L_Conversion!$D$119),"-",
IF(AND(M223="03",N223&gt;=L_Conversion!$C$120,N223&lt;=L_Conversion!$D$120),"-",
IF(AND(M223="04",N223&gt;=L_Conversion!$C$121,N223&lt;=L_Conversion!$D$121),"-",
IF(AND(M223="05",N223&gt;=L_Conversion!$C$122,N223&lt;=L_Conversion!$D$122),"-",
IF(AND(M223="06",N223&gt;=L_Conversion!$C$123,N223&lt;=L_Conversion!$D$123),"-",
IF(AND(M223="07",N223&gt;=L_Conversion!$C$124,N223&lt;=L_Conversion!$D$124),"-",
IF(AND(M223="08",N223&gt;=L_Conversion!$C$125,N223&lt;=L_Conversion!$D$125),"-",
IF(AND(M223="09",N223&gt;=L_Conversion!$C$126,N223&lt;=L_Conversion!$D$126),"-",
IF(AND(M223="10",N223&gt;=L_Conversion!$C$127,N223&lt;=L_Conversion!$D$127),"-",
IF(AND(M223="11",N223&gt;=L_Conversion!$C$128,N223&lt;=L_Conversion!$D$128),"-",
IF(AND(M223="12",N223&gt;=L_Conversion!$C$129,N223&lt;=L_Conversion!$D$129),"-",
IF(AND(M223="13",N223&gt;=L_Conversion!$C$116,N223&lt;=L_Conversion!$D$116),"-",
IF(AND(M223="14",N223&gt;=L_Conversion!$C$117,N223&lt;=L_Conversion!$D$117),"-",
"PRIMER_DIA fuera de rango")))))))))))))))</f>
        <v>-</v>
      </c>
      <c r="AS223" s="86" t="str">
        <f t="shared" si="121"/>
        <v>-</v>
      </c>
      <c r="AT223" s="86" t="str">
        <f t="shared" si="122"/>
        <v>-</v>
      </c>
      <c r="AU223" s="86" t="str">
        <f t="shared" si="123"/>
        <v>-</v>
      </c>
      <c r="AV223" s="86" t="str">
        <f t="shared" si="124"/>
        <v>-</v>
      </c>
      <c r="AW223" s="86" t="str">
        <f t="shared" si="125"/>
        <v>-</v>
      </c>
      <c r="AX223" s="86" t="str">
        <f t="shared" si="126"/>
        <v>-</v>
      </c>
      <c r="AY223" s="86" t="str">
        <f t="shared" si="127"/>
        <v>-</v>
      </c>
      <c r="AZ223" s="86" t="str">
        <f t="shared" si="128"/>
        <v>-</v>
      </c>
      <c r="BA223" s="86" t="str">
        <f t="shared" si="129"/>
        <v>-</v>
      </c>
      <c r="BB223" s="86" t="str">
        <f t="shared" si="130"/>
        <v>-</v>
      </c>
      <c r="BC223" s="86" t="str">
        <f t="shared" si="131"/>
        <v>-</v>
      </c>
      <c r="BD223" s="86" t="str">
        <f t="shared" si="132"/>
        <v>-</v>
      </c>
      <c r="BE223" s="86" t="str">
        <f t="shared" si="133"/>
        <v>-</v>
      </c>
      <c r="BF223" s="86" t="str">
        <f t="shared" si="134"/>
        <v>-</v>
      </c>
    </row>
    <row r="224" spans="1:58" x14ac:dyDescent="0.2">
      <c r="A224" s="19" t="s">
        <v>1144</v>
      </c>
      <c r="B224" s="19" t="s">
        <v>76</v>
      </c>
      <c r="C224" s="19">
        <v>15184812</v>
      </c>
      <c r="D224" s="81">
        <v>5</v>
      </c>
      <c r="E224" s="19" t="s">
        <v>1418</v>
      </c>
      <c r="F224" s="19" t="s">
        <v>1502</v>
      </c>
      <c r="G224" s="19" t="s">
        <v>1533</v>
      </c>
      <c r="H224" s="19" t="s">
        <v>1033</v>
      </c>
      <c r="I224" s="19" t="s">
        <v>662</v>
      </c>
      <c r="J224" s="19">
        <v>80</v>
      </c>
      <c r="K224" s="19" t="s">
        <v>567</v>
      </c>
      <c r="L224" s="19" t="s">
        <v>502</v>
      </c>
      <c r="M224" s="19" t="s">
        <v>21</v>
      </c>
      <c r="N224" s="19">
        <v>45714</v>
      </c>
      <c r="O224" s="19">
        <v>7</v>
      </c>
      <c r="P224" s="81">
        <v>1</v>
      </c>
      <c r="Q224" s="19" t="s">
        <v>23</v>
      </c>
      <c r="R224" s="19" t="s">
        <v>11</v>
      </c>
      <c r="S224" s="19" t="s">
        <v>23</v>
      </c>
      <c r="T224" s="19">
        <v>7</v>
      </c>
      <c r="U224" s="19" t="s">
        <v>11</v>
      </c>
      <c r="V224" s="19" t="s">
        <v>11</v>
      </c>
      <c r="W224" s="19" t="s">
        <v>19</v>
      </c>
      <c r="X224" s="19">
        <v>305303</v>
      </c>
      <c r="Y224" s="19" t="s">
        <v>735</v>
      </c>
      <c r="Z224" s="19">
        <v>7</v>
      </c>
      <c r="AA224" s="19">
        <v>305303</v>
      </c>
      <c r="AB224" s="19">
        <v>305303</v>
      </c>
      <c r="AC224" s="178" t="str">
        <f>IF(OR(M224="13",M224="14",P224=8),"",IF(AND(OR(S224="AUTORIZADO", S224="PENDIENTE", S224="REDUCIDO", S224="AMPLIADO"),L224&lt;&gt;"HONORARIO" ), CONCATENATE(IF(H224="X","H",H224),"_",IF(OR(P224=5,P224=6),_xlfn.CONCAT(P224,"A"),P224),"_",VLOOKUP(T224,Datos!$B$2:$C$5,2,TRUE)),""))</f>
        <v>M_1_[4 a 10]</v>
      </c>
      <c r="AD224" s="178">
        <f t="shared" si="108"/>
        <v>610606</v>
      </c>
      <c r="AE224" s="82" t="str">
        <f t="shared" si="109"/>
        <v>-</v>
      </c>
      <c r="AF224" s="83" t="str">
        <f t="shared" si="110"/>
        <v>070601</v>
      </c>
      <c r="AG224" s="84"/>
      <c r="AH224" s="85" t="str">
        <f t="shared" si="111"/>
        <v>Corporación de Fomento de la Producción</v>
      </c>
      <c r="AI224" s="82" t="str">
        <f t="shared" si="112"/>
        <v>-</v>
      </c>
      <c r="AJ224" s="82">
        <f t="shared" si="113"/>
        <v>5</v>
      </c>
      <c r="AK224" s="82" t="str">
        <f t="shared" si="114"/>
        <v>-</v>
      </c>
      <c r="AL224" s="82" t="str">
        <f t="shared" si="115"/>
        <v>Identifica este registro como MUJER</v>
      </c>
      <c r="AM224" s="82" t="str">
        <f t="shared" si="116"/>
        <v>-</v>
      </c>
      <c r="AN224" s="82" t="str">
        <f t="shared" si="117"/>
        <v>-</v>
      </c>
      <c r="AO224" s="82" t="str">
        <f t="shared" si="118"/>
        <v>-</v>
      </c>
      <c r="AP224" s="57" t="str">
        <f t="shared" si="119"/>
        <v>-</v>
      </c>
      <c r="AQ224" s="86" t="str">
        <f t="shared" si="120"/>
        <v>-</v>
      </c>
      <c r="AR224" s="86" t="str">
        <f>IF(N224="","PRIMER_DIA en blanco",
IF(AND(M224="01",N224&gt;=L_Conversion!$C$118,N224&lt;=L_Conversion!$D$118),"-",
IF(AND(M224="02",N224&gt;=L_Conversion!$C$119,N224&lt;=L_Conversion!$D$119),"-",
IF(AND(M224="03",N224&gt;=L_Conversion!$C$120,N224&lt;=L_Conversion!$D$120),"-",
IF(AND(M224="04",N224&gt;=L_Conversion!$C$121,N224&lt;=L_Conversion!$D$121),"-",
IF(AND(M224="05",N224&gt;=L_Conversion!$C$122,N224&lt;=L_Conversion!$D$122),"-",
IF(AND(M224="06",N224&gt;=L_Conversion!$C$123,N224&lt;=L_Conversion!$D$123),"-",
IF(AND(M224="07",N224&gt;=L_Conversion!$C$124,N224&lt;=L_Conversion!$D$124),"-",
IF(AND(M224="08",N224&gt;=L_Conversion!$C$125,N224&lt;=L_Conversion!$D$125),"-",
IF(AND(M224="09",N224&gt;=L_Conversion!$C$126,N224&lt;=L_Conversion!$D$126),"-",
IF(AND(M224="10",N224&gt;=L_Conversion!$C$127,N224&lt;=L_Conversion!$D$127),"-",
IF(AND(M224="11",N224&gt;=L_Conversion!$C$128,N224&lt;=L_Conversion!$D$128),"-",
IF(AND(M224="12",N224&gt;=L_Conversion!$C$129,N224&lt;=L_Conversion!$D$129),"-",
IF(AND(M224="13",N224&gt;=L_Conversion!$C$116,N224&lt;=L_Conversion!$D$116),"-",
IF(AND(M224="14",N224&gt;=L_Conversion!$C$117,N224&lt;=L_Conversion!$D$117),"-",
"PRIMER_DIA fuera de rango")))))))))))))))</f>
        <v>-</v>
      </c>
      <c r="AS224" s="86" t="str">
        <f t="shared" si="121"/>
        <v>-</v>
      </c>
      <c r="AT224" s="86" t="str">
        <f t="shared" si="122"/>
        <v>-</v>
      </c>
      <c r="AU224" s="86" t="str">
        <f t="shared" si="123"/>
        <v>-</v>
      </c>
      <c r="AV224" s="86" t="str">
        <f t="shared" si="124"/>
        <v>-</v>
      </c>
      <c r="AW224" s="86" t="str">
        <f t="shared" si="125"/>
        <v>-</v>
      </c>
      <c r="AX224" s="86" t="str">
        <f t="shared" si="126"/>
        <v>-</v>
      </c>
      <c r="AY224" s="86" t="str">
        <f t="shared" si="127"/>
        <v>-</v>
      </c>
      <c r="AZ224" s="86" t="str">
        <f t="shared" si="128"/>
        <v>-</v>
      </c>
      <c r="BA224" s="86" t="str">
        <f t="shared" si="129"/>
        <v>-</v>
      </c>
      <c r="BB224" s="86" t="str">
        <f t="shared" si="130"/>
        <v>-</v>
      </c>
      <c r="BC224" s="86" t="str">
        <f t="shared" si="131"/>
        <v>-</v>
      </c>
      <c r="BD224" s="86" t="str">
        <f t="shared" si="132"/>
        <v>-</v>
      </c>
      <c r="BE224" s="86" t="str">
        <f t="shared" si="133"/>
        <v>-</v>
      </c>
      <c r="BF224" s="86" t="str">
        <f t="shared" si="134"/>
        <v>-</v>
      </c>
    </row>
    <row r="225" spans="1:58" x14ac:dyDescent="0.2">
      <c r="A225" s="19" t="s">
        <v>1144</v>
      </c>
      <c r="B225" s="19" t="s">
        <v>887</v>
      </c>
      <c r="C225" s="19">
        <v>18175044</v>
      </c>
      <c r="D225" s="81">
        <v>8</v>
      </c>
      <c r="E225" s="19" t="s">
        <v>1160</v>
      </c>
      <c r="F225" s="19" t="s">
        <v>1179</v>
      </c>
      <c r="G225" s="19" t="s">
        <v>1534</v>
      </c>
      <c r="H225" s="19" t="s">
        <v>663</v>
      </c>
      <c r="I225" s="19" t="s">
        <v>662</v>
      </c>
      <c r="J225" s="19">
        <v>80</v>
      </c>
      <c r="K225" s="19" t="s">
        <v>563</v>
      </c>
      <c r="L225" s="19" t="s">
        <v>502</v>
      </c>
      <c r="M225" s="19" t="s">
        <v>21</v>
      </c>
      <c r="N225" s="19">
        <v>45714</v>
      </c>
      <c r="O225" s="19">
        <v>3</v>
      </c>
      <c r="P225" s="81">
        <v>1</v>
      </c>
      <c r="Q225" s="19" t="s">
        <v>23</v>
      </c>
      <c r="R225" s="19" t="s">
        <v>11</v>
      </c>
      <c r="S225" s="19" t="s">
        <v>23</v>
      </c>
      <c r="T225" s="19">
        <v>3</v>
      </c>
      <c r="U225" s="19" t="s">
        <v>11</v>
      </c>
      <c r="V225" s="19" t="s">
        <v>19</v>
      </c>
      <c r="W225" s="19" t="s">
        <v>19</v>
      </c>
      <c r="X225" s="19">
        <v>63732</v>
      </c>
      <c r="Y225" s="19" t="s">
        <v>735</v>
      </c>
      <c r="Z225" s="19">
        <v>3</v>
      </c>
      <c r="AA225" s="19">
        <v>63732</v>
      </c>
      <c r="AB225" s="19">
        <v>63732</v>
      </c>
      <c r="AC225" s="178" t="str">
        <f>IF(OR(M225="13",M225="14",P225=8),"",IF(AND(OR(S225="AUTORIZADO", S225="PENDIENTE", S225="REDUCIDO", S225="AMPLIADO"),L225&lt;&gt;"HONORARIO" ), CONCATENATE(IF(H225="X","H",H225),"_",IF(OR(P225=5,P225=6),_xlfn.CONCAT(P225,"A"),P225),"_",VLOOKUP(T225,Datos!$B$2:$C$5,2,TRUE)),""))</f>
        <v>H_1_[hasta 3]</v>
      </c>
      <c r="AD225" s="178">
        <f t="shared" si="108"/>
        <v>127464</v>
      </c>
      <c r="AE225" s="82" t="str">
        <f t="shared" si="109"/>
        <v>-</v>
      </c>
      <c r="AF225" s="83" t="str">
        <f t="shared" si="110"/>
        <v>070607</v>
      </c>
      <c r="AG225" s="84"/>
      <c r="AH225" s="85" t="str">
        <f t="shared" si="111"/>
        <v>Corporación de Fomento de la Producción</v>
      </c>
      <c r="AI225" s="82" t="str">
        <f t="shared" si="112"/>
        <v>-</v>
      </c>
      <c r="AJ225" s="82">
        <f t="shared" si="113"/>
        <v>8</v>
      </c>
      <c r="AK225" s="82" t="str">
        <f t="shared" si="114"/>
        <v>-</v>
      </c>
      <c r="AL225" s="82" t="str">
        <f t="shared" si="115"/>
        <v>Identifica este registro como HOMBRE</v>
      </c>
      <c r="AM225" s="82" t="str">
        <f t="shared" si="116"/>
        <v>-</v>
      </c>
      <c r="AN225" s="82" t="str">
        <f t="shared" si="117"/>
        <v>-</v>
      </c>
      <c r="AO225" s="82" t="str">
        <f t="shared" si="118"/>
        <v>-</v>
      </c>
      <c r="AP225" s="57" t="str">
        <f t="shared" si="119"/>
        <v>-</v>
      </c>
      <c r="AQ225" s="86" t="str">
        <f t="shared" si="120"/>
        <v>-</v>
      </c>
      <c r="AR225" s="86" t="str">
        <f>IF(N225="","PRIMER_DIA en blanco",
IF(AND(M225="01",N225&gt;=L_Conversion!$C$118,N225&lt;=L_Conversion!$D$118),"-",
IF(AND(M225="02",N225&gt;=L_Conversion!$C$119,N225&lt;=L_Conversion!$D$119),"-",
IF(AND(M225="03",N225&gt;=L_Conversion!$C$120,N225&lt;=L_Conversion!$D$120),"-",
IF(AND(M225="04",N225&gt;=L_Conversion!$C$121,N225&lt;=L_Conversion!$D$121),"-",
IF(AND(M225="05",N225&gt;=L_Conversion!$C$122,N225&lt;=L_Conversion!$D$122),"-",
IF(AND(M225="06",N225&gt;=L_Conversion!$C$123,N225&lt;=L_Conversion!$D$123),"-",
IF(AND(M225="07",N225&gt;=L_Conversion!$C$124,N225&lt;=L_Conversion!$D$124),"-",
IF(AND(M225="08",N225&gt;=L_Conversion!$C$125,N225&lt;=L_Conversion!$D$125),"-",
IF(AND(M225="09",N225&gt;=L_Conversion!$C$126,N225&lt;=L_Conversion!$D$126),"-",
IF(AND(M225="10",N225&gt;=L_Conversion!$C$127,N225&lt;=L_Conversion!$D$127),"-",
IF(AND(M225="11",N225&gt;=L_Conversion!$C$128,N225&lt;=L_Conversion!$D$128),"-",
IF(AND(M225="12",N225&gt;=L_Conversion!$C$129,N225&lt;=L_Conversion!$D$129),"-",
IF(AND(M225="13",N225&gt;=L_Conversion!$C$116,N225&lt;=L_Conversion!$D$116),"-",
IF(AND(M225="14",N225&gt;=L_Conversion!$C$117,N225&lt;=L_Conversion!$D$117),"-",
"PRIMER_DIA fuera de rango")))))))))))))))</f>
        <v>-</v>
      </c>
      <c r="AS225" s="86" t="str">
        <f t="shared" si="121"/>
        <v>-</v>
      </c>
      <c r="AT225" s="86" t="str">
        <f t="shared" si="122"/>
        <v>-</v>
      </c>
      <c r="AU225" s="86" t="str">
        <f t="shared" si="123"/>
        <v>-</v>
      </c>
      <c r="AV225" s="86" t="str">
        <f t="shared" si="124"/>
        <v>-</v>
      </c>
      <c r="AW225" s="86" t="str">
        <f t="shared" si="125"/>
        <v>-</v>
      </c>
      <c r="AX225" s="86" t="str">
        <f t="shared" si="126"/>
        <v>-</v>
      </c>
      <c r="AY225" s="86" t="str">
        <f t="shared" si="127"/>
        <v>-</v>
      </c>
      <c r="AZ225" s="86" t="str">
        <f t="shared" si="128"/>
        <v>-</v>
      </c>
      <c r="BA225" s="86" t="str">
        <f t="shared" si="129"/>
        <v>-</v>
      </c>
      <c r="BB225" s="86" t="str">
        <f t="shared" si="130"/>
        <v>-</v>
      </c>
      <c r="BC225" s="86" t="str">
        <f t="shared" si="131"/>
        <v>-</v>
      </c>
      <c r="BD225" s="86" t="str">
        <f t="shared" si="132"/>
        <v>-</v>
      </c>
      <c r="BE225" s="86" t="str">
        <f t="shared" si="133"/>
        <v>-</v>
      </c>
      <c r="BF225" s="86" t="str">
        <f t="shared" si="134"/>
        <v>-</v>
      </c>
    </row>
    <row r="226" spans="1:58" x14ac:dyDescent="0.2">
      <c r="A226" s="19" t="s">
        <v>1144</v>
      </c>
      <c r="B226" s="19" t="s">
        <v>76</v>
      </c>
      <c r="C226" s="19">
        <v>9910571</v>
      </c>
      <c r="D226" s="81">
        <v>2</v>
      </c>
      <c r="E226" s="19" t="s">
        <v>1535</v>
      </c>
      <c r="F226" s="19" t="s">
        <v>1170</v>
      </c>
      <c r="G226" s="19" t="s">
        <v>1536</v>
      </c>
      <c r="H226" s="19" t="s">
        <v>1033</v>
      </c>
      <c r="I226" s="19" t="s">
        <v>662</v>
      </c>
      <c r="J226" s="19">
        <v>80</v>
      </c>
      <c r="K226" s="19" t="s">
        <v>563</v>
      </c>
      <c r="L226" s="19" t="s">
        <v>502</v>
      </c>
      <c r="M226" s="19" t="s">
        <v>21</v>
      </c>
      <c r="N226" s="19">
        <v>45714</v>
      </c>
      <c r="O226" s="19">
        <v>10</v>
      </c>
      <c r="P226" s="81">
        <v>1</v>
      </c>
      <c r="Q226" s="19" t="s">
        <v>23</v>
      </c>
      <c r="R226" s="19" t="s">
        <v>11</v>
      </c>
      <c r="S226" s="19" t="s">
        <v>23</v>
      </c>
      <c r="T226" s="19">
        <v>10</v>
      </c>
      <c r="U226" s="19" t="s">
        <v>11</v>
      </c>
      <c r="V226" s="19" t="s">
        <v>11</v>
      </c>
      <c r="W226" s="19" t="s">
        <v>19</v>
      </c>
      <c r="X226" s="19">
        <v>808829</v>
      </c>
      <c r="Y226" s="19" t="s">
        <v>735</v>
      </c>
      <c r="Z226" s="19">
        <v>10</v>
      </c>
      <c r="AA226" s="19">
        <v>808829</v>
      </c>
      <c r="AB226" s="19">
        <v>808829</v>
      </c>
      <c r="AC226" s="178" t="str">
        <f>IF(OR(M226="13",M226="14",P226=8),"",IF(AND(OR(S226="AUTORIZADO", S226="PENDIENTE", S226="REDUCIDO", S226="AMPLIADO"),L226&lt;&gt;"HONORARIO" ), CONCATENATE(IF(H226="X","H",H226),"_",IF(OR(P226=5,P226=6),_xlfn.CONCAT(P226,"A"),P226),"_",VLOOKUP(T226,Datos!$B$2:$C$5,2,TRUE)),""))</f>
        <v>M_1_[4 a 10]</v>
      </c>
      <c r="AD226" s="178">
        <f t="shared" si="108"/>
        <v>1617658</v>
      </c>
      <c r="AE226" s="82" t="str">
        <f t="shared" si="109"/>
        <v>-</v>
      </c>
      <c r="AF226" s="83" t="str">
        <f t="shared" si="110"/>
        <v>070601</v>
      </c>
      <c r="AG226" s="84"/>
      <c r="AH226" s="85" t="str">
        <f t="shared" si="111"/>
        <v>Corporación de Fomento de la Producción</v>
      </c>
      <c r="AI226" s="82" t="str">
        <f t="shared" si="112"/>
        <v>-</v>
      </c>
      <c r="AJ226" s="82">
        <f t="shared" si="113"/>
        <v>2</v>
      </c>
      <c r="AK226" s="82" t="str">
        <f t="shared" si="114"/>
        <v>-</v>
      </c>
      <c r="AL226" s="82" t="str">
        <f t="shared" si="115"/>
        <v>Identifica este registro como MUJER</v>
      </c>
      <c r="AM226" s="82" t="str">
        <f t="shared" si="116"/>
        <v>-</v>
      </c>
      <c r="AN226" s="82" t="str">
        <f t="shared" si="117"/>
        <v>-</v>
      </c>
      <c r="AO226" s="82" t="str">
        <f t="shared" si="118"/>
        <v>-</v>
      </c>
      <c r="AP226" s="57" t="str">
        <f t="shared" si="119"/>
        <v>-</v>
      </c>
      <c r="AQ226" s="86" t="str">
        <f t="shared" si="120"/>
        <v>-</v>
      </c>
      <c r="AR226" s="86" t="str">
        <f>IF(N226="","PRIMER_DIA en blanco",
IF(AND(M226="01",N226&gt;=L_Conversion!$C$118,N226&lt;=L_Conversion!$D$118),"-",
IF(AND(M226="02",N226&gt;=L_Conversion!$C$119,N226&lt;=L_Conversion!$D$119),"-",
IF(AND(M226="03",N226&gt;=L_Conversion!$C$120,N226&lt;=L_Conversion!$D$120),"-",
IF(AND(M226="04",N226&gt;=L_Conversion!$C$121,N226&lt;=L_Conversion!$D$121),"-",
IF(AND(M226="05",N226&gt;=L_Conversion!$C$122,N226&lt;=L_Conversion!$D$122),"-",
IF(AND(M226="06",N226&gt;=L_Conversion!$C$123,N226&lt;=L_Conversion!$D$123),"-",
IF(AND(M226="07",N226&gt;=L_Conversion!$C$124,N226&lt;=L_Conversion!$D$124),"-",
IF(AND(M226="08",N226&gt;=L_Conversion!$C$125,N226&lt;=L_Conversion!$D$125),"-",
IF(AND(M226="09",N226&gt;=L_Conversion!$C$126,N226&lt;=L_Conversion!$D$126),"-",
IF(AND(M226="10",N226&gt;=L_Conversion!$C$127,N226&lt;=L_Conversion!$D$127),"-",
IF(AND(M226="11",N226&gt;=L_Conversion!$C$128,N226&lt;=L_Conversion!$D$128),"-",
IF(AND(M226="12",N226&gt;=L_Conversion!$C$129,N226&lt;=L_Conversion!$D$129),"-",
IF(AND(M226="13",N226&gt;=L_Conversion!$C$116,N226&lt;=L_Conversion!$D$116),"-",
IF(AND(M226="14",N226&gt;=L_Conversion!$C$117,N226&lt;=L_Conversion!$D$117),"-",
"PRIMER_DIA fuera de rango")))))))))))))))</f>
        <v>-</v>
      </c>
      <c r="AS226" s="86" t="str">
        <f t="shared" si="121"/>
        <v>-</v>
      </c>
      <c r="AT226" s="86" t="str">
        <f t="shared" si="122"/>
        <v>-</v>
      </c>
      <c r="AU226" s="86" t="str">
        <f t="shared" si="123"/>
        <v>-</v>
      </c>
      <c r="AV226" s="86" t="str">
        <f t="shared" si="124"/>
        <v>-</v>
      </c>
      <c r="AW226" s="86" t="str">
        <f t="shared" si="125"/>
        <v>-</v>
      </c>
      <c r="AX226" s="86" t="str">
        <f t="shared" si="126"/>
        <v>-</v>
      </c>
      <c r="AY226" s="86" t="str">
        <f t="shared" si="127"/>
        <v>-</v>
      </c>
      <c r="AZ226" s="86" t="str">
        <f t="shared" si="128"/>
        <v>-</v>
      </c>
      <c r="BA226" s="86" t="str">
        <f t="shared" si="129"/>
        <v>-</v>
      </c>
      <c r="BB226" s="86" t="str">
        <f t="shared" si="130"/>
        <v>-</v>
      </c>
      <c r="BC226" s="86" t="str">
        <f t="shared" si="131"/>
        <v>-</v>
      </c>
      <c r="BD226" s="86" t="str">
        <f t="shared" si="132"/>
        <v>-</v>
      </c>
      <c r="BE226" s="86" t="str">
        <f t="shared" si="133"/>
        <v>-</v>
      </c>
      <c r="BF226" s="86" t="str">
        <f t="shared" si="134"/>
        <v>-</v>
      </c>
    </row>
    <row r="227" spans="1:58" x14ac:dyDescent="0.2">
      <c r="A227" s="19" t="s">
        <v>1144</v>
      </c>
      <c r="B227" s="19" t="s">
        <v>76</v>
      </c>
      <c r="C227" s="19">
        <v>13253591</v>
      </c>
      <c r="D227" s="81">
        <v>4</v>
      </c>
      <c r="E227" s="19" t="s">
        <v>1537</v>
      </c>
      <c r="F227" s="19" t="s">
        <v>1173</v>
      </c>
      <c r="G227" s="19" t="s">
        <v>1538</v>
      </c>
      <c r="H227" s="19" t="s">
        <v>1033</v>
      </c>
      <c r="I227" s="19" t="s">
        <v>662</v>
      </c>
      <c r="J227" s="19">
        <v>80</v>
      </c>
      <c r="K227" s="19" t="s">
        <v>563</v>
      </c>
      <c r="L227" s="19" t="s">
        <v>502</v>
      </c>
      <c r="M227" s="19" t="s">
        <v>21</v>
      </c>
      <c r="N227" s="19">
        <v>45715</v>
      </c>
      <c r="O227" s="19">
        <v>2</v>
      </c>
      <c r="P227" s="81">
        <v>1</v>
      </c>
      <c r="Q227" s="19" t="s">
        <v>23</v>
      </c>
      <c r="R227" s="19" t="s">
        <v>11</v>
      </c>
      <c r="S227" s="19" t="s">
        <v>23</v>
      </c>
      <c r="T227" s="19">
        <v>2</v>
      </c>
      <c r="U227" s="19" t="s">
        <v>11</v>
      </c>
      <c r="V227" s="19" t="s">
        <v>19</v>
      </c>
      <c r="W227" s="19" t="s">
        <v>19</v>
      </c>
      <c r="X227" s="19">
        <v>42645</v>
      </c>
      <c r="Y227" s="19" t="s">
        <v>735</v>
      </c>
      <c r="Z227" s="19">
        <v>2</v>
      </c>
      <c r="AA227" s="19">
        <v>42645</v>
      </c>
      <c r="AB227" s="19">
        <v>42645</v>
      </c>
      <c r="AC227" s="178" t="str">
        <f>IF(OR(M227="13",M227="14",P227=8),"",IF(AND(OR(S227="AUTORIZADO", S227="PENDIENTE", S227="REDUCIDO", S227="AMPLIADO"),L227&lt;&gt;"HONORARIO" ), CONCATENATE(IF(H227="X","H",H227),"_",IF(OR(P227=5,P227=6),_xlfn.CONCAT(P227,"A"),P227),"_",VLOOKUP(T227,Datos!$B$2:$C$5,2,TRUE)),""))</f>
        <v>M_1_[hasta 3]</v>
      </c>
      <c r="AD227" s="178">
        <f t="shared" si="108"/>
        <v>85290</v>
      </c>
      <c r="AE227" s="82" t="str">
        <f t="shared" si="109"/>
        <v>-</v>
      </c>
      <c r="AF227" s="83" t="str">
        <f t="shared" si="110"/>
        <v>070601</v>
      </c>
      <c r="AG227" s="84"/>
      <c r="AH227" s="85" t="str">
        <f t="shared" si="111"/>
        <v>Corporación de Fomento de la Producción</v>
      </c>
      <c r="AI227" s="82" t="str">
        <f t="shared" si="112"/>
        <v>-</v>
      </c>
      <c r="AJ227" s="82">
        <f t="shared" si="113"/>
        <v>4</v>
      </c>
      <c r="AK227" s="82" t="str">
        <f t="shared" si="114"/>
        <v>-</v>
      </c>
      <c r="AL227" s="82" t="str">
        <f t="shared" si="115"/>
        <v>Identifica este registro como MUJER</v>
      </c>
      <c r="AM227" s="82" t="str">
        <f t="shared" si="116"/>
        <v>-</v>
      </c>
      <c r="AN227" s="82" t="str">
        <f t="shared" si="117"/>
        <v>-</v>
      </c>
      <c r="AO227" s="82" t="str">
        <f t="shared" si="118"/>
        <v>-</v>
      </c>
      <c r="AP227" s="57" t="str">
        <f t="shared" si="119"/>
        <v>-</v>
      </c>
      <c r="AQ227" s="86" t="str">
        <f t="shared" si="120"/>
        <v>-</v>
      </c>
      <c r="AR227" s="86" t="str">
        <f>IF(N227="","PRIMER_DIA en blanco",
IF(AND(M227="01",N227&gt;=L_Conversion!$C$118,N227&lt;=L_Conversion!$D$118),"-",
IF(AND(M227="02",N227&gt;=L_Conversion!$C$119,N227&lt;=L_Conversion!$D$119),"-",
IF(AND(M227="03",N227&gt;=L_Conversion!$C$120,N227&lt;=L_Conversion!$D$120),"-",
IF(AND(M227="04",N227&gt;=L_Conversion!$C$121,N227&lt;=L_Conversion!$D$121),"-",
IF(AND(M227="05",N227&gt;=L_Conversion!$C$122,N227&lt;=L_Conversion!$D$122),"-",
IF(AND(M227="06",N227&gt;=L_Conversion!$C$123,N227&lt;=L_Conversion!$D$123),"-",
IF(AND(M227="07",N227&gt;=L_Conversion!$C$124,N227&lt;=L_Conversion!$D$124),"-",
IF(AND(M227="08",N227&gt;=L_Conversion!$C$125,N227&lt;=L_Conversion!$D$125),"-",
IF(AND(M227="09",N227&gt;=L_Conversion!$C$126,N227&lt;=L_Conversion!$D$126),"-",
IF(AND(M227="10",N227&gt;=L_Conversion!$C$127,N227&lt;=L_Conversion!$D$127),"-",
IF(AND(M227="11",N227&gt;=L_Conversion!$C$128,N227&lt;=L_Conversion!$D$128),"-",
IF(AND(M227="12",N227&gt;=L_Conversion!$C$129,N227&lt;=L_Conversion!$D$129),"-",
IF(AND(M227="13",N227&gt;=L_Conversion!$C$116,N227&lt;=L_Conversion!$D$116),"-",
IF(AND(M227="14",N227&gt;=L_Conversion!$C$117,N227&lt;=L_Conversion!$D$117),"-",
"PRIMER_DIA fuera de rango")))))))))))))))</f>
        <v>-</v>
      </c>
      <c r="AS227" s="86" t="str">
        <f t="shared" si="121"/>
        <v>-</v>
      </c>
      <c r="AT227" s="86" t="str">
        <f t="shared" si="122"/>
        <v>-</v>
      </c>
      <c r="AU227" s="86" t="str">
        <f t="shared" si="123"/>
        <v>-</v>
      </c>
      <c r="AV227" s="86" t="str">
        <f t="shared" si="124"/>
        <v>-</v>
      </c>
      <c r="AW227" s="86" t="str">
        <f t="shared" si="125"/>
        <v>-</v>
      </c>
      <c r="AX227" s="86" t="str">
        <f t="shared" si="126"/>
        <v>-</v>
      </c>
      <c r="AY227" s="86" t="str">
        <f t="shared" si="127"/>
        <v>-</v>
      </c>
      <c r="AZ227" s="86" t="str">
        <f t="shared" si="128"/>
        <v>-</v>
      </c>
      <c r="BA227" s="86" t="str">
        <f t="shared" si="129"/>
        <v>-</v>
      </c>
      <c r="BB227" s="86" t="str">
        <f t="shared" si="130"/>
        <v>-</v>
      </c>
      <c r="BC227" s="86" t="str">
        <f t="shared" si="131"/>
        <v>-</v>
      </c>
      <c r="BD227" s="86" t="str">
        <f t="shared" si="132"/>
        <v>-</v>
      </c>
      <c r="BE227" s="86" t="str">
        <f t="shared" si="133"/>
        <v>-</v>
      </c>
      <c r="BF227" s="86" t="str">
        <f t="shared" si="134"/>
        <v>-</v>
      </c>
    </row>
    <row r="228" spans="1:58" x14ac:dyDescent="0.2">
      <c r="A228" s="19" t="s">
        <v>1144</v>
      </c>
      <c r="B228" s="19" t="s">
        <v>76</v>
      </c>
      <c r="C228" s="19">
        <v>15762639</v>
      </c>
      <c r="D228" s="81">
        <v>6</v>
      </c>
      <c r="E228" s="19" t="s">
        <v>1202</v>
      </c>
      <c r="F228" s="19" t="s">
        <v>1146</v>
      </c>
      <c r="G228" s="19" t="s">
        <v>1539</v>
      </c>
      <c r="H228" s="19" t="s">
        <v>1033</v>
      </c>
      <c r="I228" s="19" t="s">
        <v>662</v>
      </c>
      <c r="J228" s="19">
        <v>80</v>
      </c>
      <c r="K228" s="19" t="s">
        <v>563</v>
      </c>
      <c r="L228" s="19" t="s">
        <v>502</v>
      </c>
      <c r="M228" s="19" t="s">
        <v>21</v>
      </c>
      <c r="N228" s="19">
        <v>45715</v>
      </c>
      <c r="O228" s="19">
        <v>3</v>
      </c>
      <c r="P228" s="81">
        <v>1</v>
      </c>
      <c r="Q228" s="19" t="s">
        <v>23</v>
      </c>
      <c r="R228" s="19" t="s">
        <v>11</v>
      </c>
      <c r="S228" s="19" t="s">
        <v>23</v>
      </c>
      <c r="T228" s="19">
        <v>3</v>
      </c>
      <c r="U228" s="19" t="s">
        <v>11</v>
      </c>
      <c r="V228" s="19" t="s">
        <v>19</v>
      </c>
      <c r="W228" s="19" t="s">
        <v>19</v>
      </c>
      <c r="X228" s="19">
        <v>56534</v>
      </c>
      <c r="Y228" s="19" t="s">
        <v>735</v>
      </c>
      <c r="Z228" s="19">
        <v>3</v>
      </c>
      <c r="AA228" s="19">
        <v>56534</v>
      </c>
      <c r="AB228" s="19">
        <v>56534</v>
      </c>
      <c r="AC228" s="178" t="str">
        <f>IF(OR(M228="13",M228="14",P228=8),"",IF(AND(OR(S228="AUTORIZADO", S228="PENDIENTE", S228="REDUCIDO", S228="AMPLIADO"),L228&lt;&gt;"HONORARIO" ), CONCATENATE(IF(H228="X","H",H228),"_",IF(OR(P228=5,P228=6),_xlfn.CONCAT(P228,"A"),P228),"_",VLOOKUP(T228,Datos!$B$2:$C$5,2,TRUE)),""))</f>
        <v>M_1_[hasta 3]</v>
      </c>
      <c r="AD228" s="178">
        <f t="shared" si="108"/>
        <v>113068</v>
      </c>
      <c r="AE228" s="82" t="str">
        <f t="shared" si="109"/>
        <v>-</v>
      </c>
      <c r="AF228" s="83" t="str">
        <f t="shared" si="110"/>
        <v>070601</v>
      </c>
      <c r="AG228" s="84"/>
      <c r="AH228" s="85" t="str">
        <f t="shared" si="111"/>
        <v>Corporación de Fomento de la Producción</v>
      </c>
      <c r="AI228" s="82" t="str">
        <f t="shared" si="112"/>
        <v>-</v>
      </c>
      <c r="AJ228" s="82">
        <f t="shared" si="113"/>
        <v>6</v>
      </c>
      <c r="AK228" s="82" t="str">
        <f t="shared" si="114"/>
        <v>-</v>
      </c>
      <c r="AL228" s="82" t="str">
        <f t="shared" si="115"/>
        <v>Identifica este registro como MUJER</v>
      </c>
      <c r="AM228" s="82" t="str">
        <f t="shared" si="116"/>
        <v>-</v>
      </c>
      <c r="AN228" s="82" t="str">
        <f t="shared" si="117"/>
        <v>-</v>
      </c>
      <c r="AO228" s="82" t="str">
        <f t="shared" si="118"/>
        <v>-</v>
      </c>
      <c r="AP228" s="57" t="str">
        <f t="shared" si="119"/>
        <v>-</v>
      </c>
      <c r="AQ228" s="86" t="str">
        <f t="shared" si="120"/>
        <v>-</v>
      </c>
      <c r="AR228" s="86" t="str">
        <f>IF(N228="","PRIMER_DIA en blanco",
IF(AND(M228="01",N228&gt;=L_Conversion!$C$118,N228&lt;=L_Conversion!$D$118),"-",
IF(AND(M228="02",N228&gt;=L_Conversion!$C$119,N228&lt;=L_Conversion!$D$119),"-",
IF(AND(M228="03",N228&gt;=L_Conversion!$C$120,N228&lt;=L_Conversion!$D$120),"-",
IF(AND(M228="04",N228&gt;=L_Conversion!$C$121,N228&lt;=L_Conversion!$D$121),"-",
IF(AND(M228="05",N228&gt;=L_Conversion!$C$122,N228&lt;=L_Conversion!$D$122),"-",
IF(AND(M228="06",N228&gt;=L_Conversion!$C$123,N228&lt;=L_Conversion!$D$123),"-",
IF(AND(M228="07",N228&gt;=L_Conversion!$C$124,N228&lt;=L_Conversion!$D$124),"-",
IF(AND(M228="08",N228&gt;=L_Conversion!$C$125,N228&lt;=L_Conversion!$D$125),"-",
IF(AND(M228="09",N228&gt;=L_Conversion!$C$126,N228&lt;=L_Conversion!$D$126),"-",
IF(AND(M228="10",N228&gt;=L_Conversion!$C$127,N228&lt;=L_Conversion!$D$127),"-",
IF(AND(M228="11",N228&gt;=L_Conversion!$C$128,N228&lt;=L_Conversion!$D$128),"-",
IF(AND(M228="12",N228&gt;=L_Conversion!$C$129,N228&lt;=L_Conversion!$D$129),"-",
IF(AND(M228="13",N228&gt;=L_Conversion!$C$116,N228&lt;=L_Conversion!$D$116),"-",
IF(AND(M228="14",N228&gt;=L_Conversion!$C$117,N228&lt;=L_Conversion!$D$117),"-",
"PRIMER_DIA fuera de rango")))))))))))))))</f>
        <v>-</v>
      </c>
      <c r="AS228" s="86" t="str">
        <f t="shared" si="121"/>
        <v>-</v>
      </c>
      <c r="AT228" s="86" t="str">
        <f t="shared" si="122"/>
        <v>-</v>
      </c>
      <c r="AU228" s="86" t="str">
        <f t="shared" si="123"/>
        <v>-</v>
      </c>
      <c r="AV228" s="86" t="str">
        <f t="shared" si="124"/>
        <v>-</v>
      </c>
      <c r="AW228" s="86" t="str">
        <f t="shared" si="125"/>
        <v>-</v>
      </c>
      <c r="AX228" s="86" t="str">
        <f t="shared" si="126"/>
        <v>-</v>
      </c>
      <c r="AY228" s="86" t="str">
        <f t="shared" si="127"/>
        <v>-</v>
      </c>
      <c r="AZ228" s="86" t="str">
        <f t="shared" si="128"/>
        <v>-</v>
      </c>
      <c r="BA228" s="86" t="str">
        <f t="shared" si="129"/>
        <v>-</v>
      </c>
      <c r="BB228" s="86" t="str">
        <f t="shared" si="130"/>
        <v>-</v>
      </c>
      <c r="BC228" s="86" t="str">
        <f t="shared" si="131"/>
        <v>-</v>
      </c>
      <c r="BD228" s="86" t="str">
        <f t="shared" si="132"/>
        <v>-</v>
      </c>
      <c r="BE228" s="86" t="str">
        <f t="shared" si="133"/>
        <v>-</v>
      </c>
      <c r="BF228" s="86" t="str">
        <f t="shared" si="134"/>
        <v>-</v>
      </c>
    </row>
    <row r="229" spans="1:58" x14ac:dyDescent="0.2">
      <c r="A229" s="19" t="s">
        <v>1144</v>
      </c>
      <c r="B229" s="19" t="s">
        <v>76</v>
      </c>
      <c r="C229" s="19">
        <v>13921753</v>
      </c>
      <c r="D229" s="81">
        <v>5</v>
      </c>
      <c r="E229" s="19" t="s">
        <v>1484</v>
      </c>
      <c r="F229" s="19" t="s">
        <v>1485</v>
      </c>
      <c r="G229" s="19" t="s">
        <v>1201</v>
      </c>
      <c r="H229" s="19" t="s">
        <v>1033</v>
      </c>
      <c r="I229" s="19" t="s">
        <v>662</v>
      </c>
      <c r="J229" s="19">
        <v>80</v>
      </c>
      <c r="K229" s="19" t="s">
        <v>563</v>
      </c>
      <c r="L229" s="19" t="s">
        <v>502</v>
      </c>
      <c r="M229" s="19" t="s">
        <v>21</v>
      </c>
      <c r="N229" s="19">
        <v>45715</v>
      </c>
      <c r="O229" s="19">
        <v>15</v>
      </c>
      <c r="P229" s="81">
        <v>1</v>
      </c>
      <c r="Q229" s="19" t="s">
        <v>23</v>
      </c>
      <c r="R229" s="19" t="s">
        <v>11</v>
      </c>
      <c r="S229" s="19" t="s">
        <v>23</v>
      </c>
      <c r="T229" s="19">
        <v>15</v>
      </c>
      <c r="U229" s="19" t="s">
        <v>11</v>
      </c>
      <c r="V229" s="19" t="s">
        <v>11</v>
      </c>
      <c r="W229" s="19" t="s">
        <v>19</v>
      </c>
      <c r="X229" s="19">
        <v>1612065</v>
      </c>
      <c r="Y229" s="19" t="s">
        <v>735</v>
      </c>
      <c r="Z229" s="19">
        <v>15</v>
      </c>
      <c r="AA229" s="19">
        <v>1612065</v>
      </c>
      <c r="AB229" s="19">
        <v>1612065</v>
      </c>
      <c r="AC229" s="178" t="str">
        <f>IF(OR(M229="13",M229="14",P229=8),"",IF(AND(OR(S229="AUTORIZADO", S229="PENDIENTE", S229="REDUCIDO", S229="AMPLIADO"),L229&lt;&gt;"HONORARIO" ), CONCATENATE(IF(H229="X","H",H229),"_",IF(OR(P229=5,P229=6),_xlfn.CONCAT(P229,"A"),P229),"_",VLOOKUP(T229,Datos!$B$2:$C$5,2,TRUE)),""))</f>
        <v>M_1_[11 +]</v>
      </c>
      <c r="AD229" s="178">
        <f t="shared" si="108"/>
        <v>3224130</v>
      </c>
      <c r="AE229" s="82" t="str">
        <f t="shared" si="109"/>
        <v>-</v>
      </c>
      <c r="AF229" s="83" t="str">
        <f t="shared" si="110"/>
        <v>070601</v>
      </c>
      <c r="AG229" s="84"/>
      <c r="AH229" s="85" t="str">
        <f t="shared" si="111"/>
        <v>Corporación de Fomento de la Producción</v>
      </c>
      <c r="AI229" s="82" t="str">
        <f t="shared" si="112"/>
        <v>-</v>
      </c>
      <c r="AJ229" s="82">
        <f t="shared" si="113"/>
        <v>5</v>
      </c>
      <c r="AK229" s="82" t="str">
        <f t="shared" si="114"/>
        <v>-</v>
      </c>
      <c r="AL229" s="82" t="str">
        <f t="shared" si="115"/>
        <v>Identifica este registro como MUJER</v>
      </c>
      <c r="AM229" s="82" t="str">
        <f t="shared" si="116"/>
        <v>-</v>
      </c>
      <c r="AN229" s="82" t="str">
        <f t="shared" si="117"/>
        <v>-</v>
      </c>
      <c r="AO229" s="82" t="str">
        <f t="shared" si="118"/>
        <v>-</v>
      </c>
      <c r="AP229" s="57" t="str">
        <f t="shared" si="119"/>
        <v>-</v>
      </c>
      <c r="AQ229" s="86" t="str">
        <f t="shared" si="120"/>
        <v>-</v>
      </c>
      <c r="AR229" s="86" t="str">
        <f>IF(N229="","PRIMER_DIA en blanco",
IF(AND(M229="01",N229&gt;=L_Conversion!$C$118,N229&lt;=L_Conversion!$D$118),"-",
IF(AND(M229="02",N229&gt;=L_Conversion!$C$119,N229&lt;=L_Conversion!$D$119),"-",
IF(AND(M229="03",N229&gt;=L_Conversion!$C$120,N229&lt;=L_Conversion!$D$120),"-",
IF(AND(M229="04",N229&gt;=L_Conversion!$C$121,N229&lt;=L_Conversion!$D$121),"-",
IF(AND(M229="05",N229&gt;=L_Conversion!$C$122,N229&lt;=L_Conversion!$D$122),"-",
IF(AND(M229="06",N229&gt;=L_Conversion!$C$123,N229&lt;=L_Conversion!$D$123),"-",
IF(AND(M229="07",N229&gt;=L_Conversion!$C$124,N229&lt;=L_Conversion!$D$124),"-",
IF(AND(M229="08",N229&gt;=L_Conversion!$C$125,N229&lt;=L_Conversion!$D$125),"-",
IF(AND(M229="09",N229&gt;=L_Conversion!$C$126,N229&lt;=L_Conversion!$D$126),"-",
IF(AND(M229="10",N229&gt;=L_Conversion!$C$127,N229&lt;=L_Conversion!$D$127),"-",
IF(AND(M229="11",N229&gt;=L_Conversion!$C$128,N229&lt;=L_Conversion!$D$128),"-",
IF(AND(M229="12",N229&gt;=L_Conversion!$C$129,N229&lt;=L_Conversion!$D$129),"-",
IF(AND(M229="13",N229&gt;=L_Conversion!$C$116,N229&lt;=L_Conversion!$D$116),"-",
IF(AND(M229="14",N229&gt;=L_Conversion!$C$117,N229&lt;=L_Conversion!$D$117),"-",
"PRIMER_DIA fuera de rango")))))))))))))))</f>
        <v>-</v>
      </c>
      <c r="AS229" s="86" t="str">
        <f t="shared" si="121"/>
        <v>-</v>
      </c>
      <c r="AT229" s="86" t="str">
        <f t="shared" si="122"/>
        <v>-</v>
      </c>
      <c r="AU229" s="86" t="str">
        <f t="shared" si="123"/>
        <v>-</v>
      </c>
      <c r="AV229" s="86" t="str">
        <f t="shared" si="124"/>
        <v>-</v>
      </c>
      <c r="AW229" s="86" t="str">
        <f t="shared" si="125"/>
        <v>-</v>
      </c>
      <c r="AX229" s="86" t="str">
        <f t="shared" si="126"/>
        <v>-</v>
      </c>
      <c r="AY229" s="86" t="str">
        <f t="shared" si="127"/>
        <v>-</v>
      </c>
      <c r="AZ229" s="86" t="str">
        <f t="shared" si="128"/>
        <v>-</v>
      </c>
      <c r="BA229" s="86" t="str">
        <f t="shared" si="129"/>
        <v>-</v>
      </c>
      <c r="BB229" s="86" t="str">
        <f t="shared" si="130"/>
        <v>-</v>
      </c>
      <c r="BC229" s="86" t="str">
        <f t="shared" si="131"/>
        <v>-</v>
      </c>
      <c r="BD229" s="86" t="str">
        <f t="shared" si="132"/>
        <v>-</v>
      </c>
      <c r="BE229" s="86" t="str">
        <f t="shared" si="133"/>
        <v>-</v>
      </c>
      <c r="BF229" s="86" t="str">
        <f t="shared" si="134"/>
        <v>-</v>
      </c>
    </row>
    <row r="230" spans="1:58" x14ac:dyDescent="0.2">
      <c r="A230" s="19" t="s">
        <v>1144</v>
      </c>
      <c r="B230" s="19" t="s">
        <v>76</v>
      </c>
      <c r="C230" s="19">
        <v>19438160</v>
      </c>
      <c r="D230" s="81">
        <v>3</v>
      </c>
      <c r="E230" s="19" t="s">
        <v>1540</v>
      </c>
      <c r="F230" s="19" t="s">
        <v>1541</v>
      </c>
      <c r="G230" s="19" t="s">
        <v>1542</v>
      </c>
      <c r="H230" s="19" t="s">
        <v>1033</v>
      </c>
      <c r="I230" s="19" t="s">
        <v>662</v>
      </c>
      <c r="J230" s="19">
        <v>80</v>
      </c>
      <c r="K230" s="19" t="s">
        <v>563</v>
      </c>
      <c r="L230" s="19" t="s">
        <v>502</v>
      </c>
      <c r="M230" s="19" t="s">
        <v>21</v>
      </c>
      <c r="N230" s="19">
        <v>45715</v>
      </c>
      <c r="O230" s="19">
        <v>5</v>
      </c>
      <c r="P230" s="81">
        <v>1</v>
      </c>
      <c r="Q230" s="19" t="s">
        <v>23</v>
      </c>
      <c r="R230" s="19" t="s">
        <v>11</v>
      </c>
      <c r="S230" s="19" t="s">
        <v>23</v>
      </c>
      <c r="T230" s="19">
        <v>5</v>
      </c>
      <c r="U230" s="19" t="s">
        <v>11</v>
      </c>
      <c r="V230" s="19" t="s">
        <v>11</v>
      </c>
      <c r="W230" s="19" t="s">
        <v>19</v>
      </c>
      <c r="X230" s="19">
        <v>204191</v>
      </c>
      <c r="Y230" s="19" t="s">
        <v>735</v>
      </c>
      <c r="Z230" s="19">
        <v>5</v>
      </c>
      <c r="AA230" s="19">
        <v>204191</v>
      </c>
      <c r="AB230" s="19">
        <v>204191</v>
      </c>
      <c r="AC230" s="178" t="str">
        <f>IF(OR(M230="13",M230="14",P230=8),"",IF(AND(OR(S230="AUTORIZADO", S230="PENDIENTE", S230="REDUCIDO", S230="AMPLIADO"),L230&lt;&gt;"HONORARIO" ), CONCATENATE(IF(H230="X","H",H230),"_",IF(OR(P230=5,P230=6),_xlfn.CONCAT(P230,"A"),P230),"_",VLOOKUP(T230,Datos!$B$2:$C$5,2,TRUE)),""))</f>
        <v>M_1_[4 a 10]</v>
      </c>
      <c r="AD230" s="178">
        <f t="shared" si="108"/>
        <v>408382</v>
      </c>
      <c r="AE230" s="82" t="str">
        <f t="shared" si="109"/>
        <v>-</v>
      </c>
      <c r="AF230" s="83" t="str">
        <f t="shared" si="110"/>
        <v>070601</v>
      </c>
      <c r="AG230" s="84"/>
      <c r="AH230" s="85" t="str">
        <f t="shared" si="111"/>
        <v>Corporación de Fomento de la Producción</v>
      </c>
      <c r="AI230" s="82" t="str">
        <f t="shared" si="112"/>
        <v>-</v>
      </c>
      <c r="AJ230" s="82">
        <f t="shared" si="113"/>
        <v>3</v>
      </c>
      <c r="AK230" s="82" t="str">
        <f t="shared" si="114"/>
        <v>-</v>
      </c>
      <c r="AL230" s="82" t="str">
        <f t="shared" si="115"/>
        <v>Identifica este registro como MUJER</v>
      </c>
      <c r="AM230" s="82" t="str">
        <f t="shared" si="116"/>
        <v>-</v>
      </c>
      <c r="AN230" s="82" t="str">
        <f t="shared" si="117"/>
        <v>-</v>
      </c>
      <c r="AO230" s="82" t="str">
        <f t="shared" si="118"/>
        <v>-</v>
      </c>
      <c r="AP230" s="57" t="str">
        <f t="shared" si="119"/>
        <v>-</v>
      </c>
      <c r="AQ230" s="86" t="str">
        <f t="shared" si="120"/>
        <v>-</v>
      </c>
      <c r="AR230" s="86" t="str">
        <f>IF(N230="","PRIMER_DIA en blanco",
IF(AND(M230="01",N230&gt;=L_Conversion!$C$118,N230&lt;=L_Conversion!$D$118),"-",
IF(AND(M230="02",N230&gt;=L_Conversion!$C$119,N230&lt;=L_Conversion!$D$119),"-",
IF(AND(M230="03",N230&gt;=L_Conversion!$C$120,N230&lt;=L_Conversion!$D$120),"-",
IF(AND(M230="04",N230&gt;=L_Conversion!$C$121,N230&lt;=L_Conversion!$D$121),"-",
IF(AND(M230="05",N230&gt;=L_Conversion!$C$122,N230&lt;=L_Conversion!$D$122),"-",
IF(AND(M230="06",N230&gt;=L_Conversion!$C$123,N230&lt;=L_Conversion!$D$123),"-",
IF(AND(M230="07",N230&gt;=L_Conversion!$C$124,N230&lt;=L_Conversion!$D$124),"-",
IF(AND(M230="08",N230&gt;=L_Conversion!$C$125,N230&lt;=L_Conversion!$D$125),"-",
IF(AND(M230="09",N230&gt;=L_Conversion!$C$126,N230&lt;=L_Conversion!$D$126),"-",
IF(AND(M230="10",N230&gt;=L_Conversion!$C$127,N230&lt;=L_Conversion!$D$127),"-",
IF(AND(M230="11",N230&gt;=L_Conversion!$C$128,N230&lt;=L_Conversion!$D$128),"-",
IF(AND(M230="12",N230&gt;=L_Conversion!$C$129,N230&lt;=L_Conversion!$D$129),"-",
IF(AND(M230="13",N230&gt;=L_Conversion!$C$116,N230&lt;=L_Conversion!$D$116),"-",
IF(AND(M230="14",N230&gt;=L_Conversion!$C$117,N230&lt;=L_Conversion!$D$117),"-",
"PRIMER_DIA fuera de rango")))))))))))))))</f>
        <v>-</v>
      </c>
      <c r="AS230" s="86" t="str">
        <f t="shared" si="121"/>
        <v>-</v>
      </c>
      <c r="AT230" s="86" t="str">
        <f t="shared" si="122"/>
        <v>-</v>
      </c>
      <c r="AU230" s="86" t="str">
        <f t="shared" si="123"/>
        <v>-</v>
      </c>
      <c r="AV230" s="86" t="str">
        <f t="shared" si="124"/>
        <v>-</v>
      </c>
      <c r="AW230" s="86" t="str">
        <f t="shared" si="125"/>
        <v>-</v>
      </c>
      <c r="AX230" s="86" t="str">
        <f t="shared" si="126"/>
        <v>-</v>
      </c>
      <c r="AY230" s="86" t="str">
        <f t="shared" si="127"/>
        <v>-</v>
      </c>
      <c r="AZ230" s="86" t="str">
        <f t="shared" si="128"/>
        <v>-</v>
      </c>
      <c r="BA230" s="86" t="str">
        <f t="shared" si="129"/>
        <v>-</v>
      </c>
      <c r="BB230" s="86" t="str">
        <f t="shared" si="130"/>
        <v>-</v>
      </c>
      <c r="BC230" s="86" t="str">
        <f t="shared" si="131"/>
        <v>-</v>
      </c>
      <c r="BD230" s="86" t="str">
        <f t="shared" si="132"/>
        <v>-</v>
      </c>
      <c r="BE230" s="86" t="str">
        <f t="shared" si="133"/>
        <v>-</v>
      </c>
      <c r="BF230" s="86" t="str">
        <f t="shared" si="134"/>
        <v>-</v>
      </c>
    </row>
    <row r="231" spans="1:58" x14ac:dyDescent="0.2">
      <c r="A231" s="19" t="s">
        <v>1144</v>
      </c>
      <c r="B231" s="19" t="s">
        <v>76</v>
      </c>
      <c r="C231" s="19">
        <v>15375340</v>
      </c>
      <c r="D231" s="81">
        <v>7</v>
      </c>
      <c r="E231" s="19" t="s">
        <v>1241</v>
      </c>
      <c r="F231" s="19" t="s">
        <v>1242</v>
      </c>
      <c r="G231" s="19" t="s">
        <v>1243</v>
      </c>
      <c r="H231" s="19" t="s">
        <v>1033</v>
      </c>
      <c r="I231" s="19" t="s">
        <v>662</v>
      </c>
      <c r="J231" s="19">
        <v>80</v>
      </c>
      <c r="K231" s="19" t="s">
        <v>563</v>
      </c>
      <c r="L231" s="19" t="s">
        <v>502</v>
      </c>
      <c r="M231" s="19" t="s">
        <v>21</v>
      </c>
      <c r="N231" s="19">
        <v>45715</v>
      </c>
      <c r="O231" s="19">
        <v>29</v>
      </c>
      <c r="P231" s="81">
        <v>3</v>
      </c>
      <c r="Q231" s="19" t="s">
        <v>23</v>
      </c>
      <c r="R231" s="19" t="s">
        <v>11</v>
      </c>
      <c r="S231" s="19" t="s">
        <v>23</v>
      </c>
      <c r="T231" s="19">
        <v>29</v>
      </c>
      <c r="U231" s="19" t="s">
        <v>11</v>
      </c>
      <c r="V231" s="19" t="s">
        <v>11</v>
      </c>
      <c r="W231" s="19" t="s">
        <v>19</v>
      </c>
      <c r="X231" s="19">
        <v>916435</v>
      </c>
      <c r="Y231" s="19" t="s">
        <v>735</v>
      </c>
      <c r="Z231" s="19">
        <v>29</v>
      </c>
      <c r="AA231" s="19">
        <v>916435</v>
      </c>
      <c r="AB231" s="19">
        <v>916435</v>
      </c>
      <c r="AC231" s="178" t="str">
        <f>IF(OR(M231="13",M231="14",P231=8),"",IF(AND(OR(S231="AUTORIZADO", S231="PENDIENTE", S231="REDUCIDO", S231="AMPLIADO"),L231&lt;&gt;"HONORARIO" ), CONCATENATE(IF(H231="X","H",H231),"_",IF(OR(P231=5,P231=6),_xlfn.CONCAT(P231,"A"),P231),"_",VLOOKUP(T231,Datos!$B$2:$C$5,2,TRUE)),""))</f>
        <v>M_3_[11 +]</v>
      </c>
      <c r="AD231" s="178">
        <f t="shared" si="108"/>
        <v>1832870</v>
      </c>
      <c r="AE231" s="82" t="str">
        <f t="shared" si="109"/>
        <v>-</v>
      </c>
      <c r="AF231" s="83" t="str">
        <f t="shared" si="110"/>
        <v>070601</v>
      </c>
      <c r="AG231" s="84"/>
      <c r="AH231" s="85" t="str">
        <f t="shared" si="111"/>
        <v>Corporación de Fomento de la Producción</v>
      </c>
      <c r="AI231" s="82" t="str">
        <f t="shared" si="112"/>
        <v>-</v>
      </c>
      <c r="AJ231" s="82">
        <f t="shared" si="113"/>
        <v>7</v>
      </c>
      <c r="AK231" s="82" t="str">
        <f t="shared" si="114"/>
        <v>-</v>
      </c>
      <c r="AL231" s="82" t="str">
        <f t="shared" si="115"/>
        <v>Identifica este registro como MUJER</v>
      </c>
      <c r="AM231" s="82" t="str">
        <f t="shared" si="116"/>
        <v>-</v>
      </c>
      <c r="AN231" s="82" t="str">
        <f t="shared" si="117"/>
        <v>-</v>
      </c>
      <c r="AO231" s="82" t="str">
        <f t="shared" si="118"/>
        <v>-</v>
      </c>
      <c r="AP231" s="57" t="str">
        <f t="shared" si="119"/>
        <v>-</v>
      </c>
      <c r="AQ231" s="86" t="str">
        <f t="shared" si="120"/>
        <v>-</v>
      </c>
      <c r="AR231" s="86" t="str">
        <f>IF(N231="","PRIMER_DIA en blanco",
IF(AND(M231="01",N231&gt;=L_Conversion!$C$118,N231&lt;=L_Conversion!$D$118),"-",
IF(AND(M231="02",N231&gt;=L_Conversion!$C$119,N231&lt;=L_Conversion!$D$119),"-",
IF(AND(M231="03",N231&gt;=L_Conversion!$C$120,N231&lt;=L_Conversion!$D$120),"-",
IF(AND(M231="04",N231&gt;=L_Conversion!$C$121,N231&lt;=L_Conversion!$D$121),"-",
IF(AND(M231="05",N231&gt;=L_Conversion!$C$122,N231&lt;=L_Conversion!$D$122),"-",
IF(AND(M231="06",N231&gt;=L_Conversion!$C$123,N231&lt;=L_Conversion!$D$123),"-",
IF(AND(M231="07",N231&gt;=L_Conversion!$C$124,N231&lt;=L_Conversion!$D$124),"-",
IF(AND(M231="08",N231&gt;=L_Conversion!$C$125,N231&lt;=L_Conversion!$D$125),"-",
IF(AND(M231="09",N231&gt;=L_Conversion!$C$126,N231&lt;=L_Conversion!$D$126),"-",
IF(AND(M231="10",N231&gt;=L_Conversion!$C$127,N231&lt;=L_Conversion!$D$127),"-",
IF(AND(M231="11",N231&gt;=L_Conversion!$C$128,N231&lt;=L_Conversion!$D$128),"-",
IF(AND(M231="12",N231&gt;=L_Conversion!$C$129,N231&lt;=L_Conversion!$D$129),"-",
IF(AND(M231="13",N231&gt;=L_Conversion!$C$116,N231&lt;=L_Conversion!$D$116),"-",
IF(AND(M231="14",N231&gt;=L_Conversion!$C$117,N231&lt;=L_Conversion!$D$117),"-",
"PRIMER_DIA fuera de rango")))))))))))))))</f>
        <v>-</v>
      </c>
      <c r="AS231" s="86" t="str">
        <f t="shared" si="121"/>
        <v>-</v>
      </c>
      <c r="AT231" s="86" t="str">
        <f t="shared" si="122"/>
        <v>-</v>
      </c>
      <c r="AU231" s="86" t="str">
        <f t="shared" si="123"/>
        <v>-</v>
      </c>
      <c r="AV231" s="86" t="str">
        <f t="shared" si="124"/>
        <v>-</v>
      </c>
      <c r="AW231" s="86" t="str">
        <f t="shared" si="125"/>
        <v>-</v>
      </c>
      <c r="AX231" s="86" t="str">
        <f t="shared" si="126"/>
        <v>-</v>
      </c>
      <c r="AY231" s="86" t="str">
        <f t="shared" si="127"/>
        <v>-</v>
      </c>
      <c r="AZ231" s="86" t="str">
        <f t="shared" si="128"/>
        <v>-</v>
      </c>
      <c r="BA231" s="86" t="str">
        <f t="shared" si="129"/>
        <v>-</v>
      </c>
      <c r="BB231" s="86" t="str">
        <f t="shared" si="130"/>
        <v>-</v>
      </c>
      <c r="BC231" s="86" t="str">
        <f t="shared" si="131"/>
        <v>-</v>
      </c>
      <c r="BD231" s="86" t="str">
        <f t="shared" si="132"/>
        <v>-</v>
      </c>
      <c r="BE231" s="86" t="str">
        <f t="shared" si="133"/>
        <v>-</v>
      </c>
      <c r="BF231" s="86" t="str">
        <f t="shared" si="134"/>
        <v>-</v>
      </c>
    </row>
    <row r="232" spans="1:58" x14ac:dyDescent="0.2">
      <c r="A232" s="19" t="s">
        <v>1144</v>
      </c>
      <c r="B232" s="19" t="s">
        <v>76</v>
      </c>
      <c r="C232" s="19">
        <v>12105921</v>
      </c>
      <c r="D232" s="81">
        <v>5</v>
      </c>
      <c r="E232" s="19" t="s">
        <v>1484</v>
      </c>
      <c r="F232" s="19" t="s">
        <v>1543</v>
      </c>
      <c r="G232" s="19" t="s">
        <v>1544</v>
      </c>
      <c r="H232" s="19" t="s">
        <v>1033</v>
      </c>
      <c r="I232" s="19" t="s">
        <v>663</v>
      </c>
      <c r="J232" s="19">
        <v>80</v>
      </c>
      <c r="K232" s="19" t="s">
        <v>563</v>
      </c>
      <c r="L232" s="19" t="s">
        <v>516</v>
      </c>
      <c r="M232" s="19" t="s">
        <v>21</v>
      </c>
      <c r="N232" s="19">
        <v>45716</v>
      </c>
      <c r="O232" s="19">
        <v>1</v>
      </c>
      <c r="P232" s="81">
        <v>1</v>
      </c>
      <c r="Q232" s="19" t="s">
        <v>23</v>
      </c>
      <c r="R232" s="19" t="s">
        <v>11</v>
      </c>
      <c r="S232" s="19" t="s">
        <v>23</v>
      </c>
      <c r="T232" s="19">
        <v>1</v>
      </c>
      <c r="U232" s="19" t="s">
        <v>11</v>
      </c>
      <c r="V232" s="19" t="s">
        <v>19</v>
      </c>
      <c r="W232" s="19" t="s">
        <v>19</v>
      </c>
      <c r="X232" s="19">
        <v>20525</v>
      </c>
      <c r="Y232" s="19" t="s">
        <v>735</v>
      </c>
      <c r="Z232" s="19">
        <v>1</v>
      </c>
      <c r="AA232" s="19">
        <v>20525</v>
      </c>
      <c r="AB232" s="19">
        <v>20525</v>
      </c>
      <c r="AC232" s="178" t="str">
        <f>IF(OR(M232="13",M232="14",P232=8),"",IF(AND(OR(S232="AUTORIZADO", S232="PENDIENTE", S232="REDUCIDO", S232="AMPLIADO"),L232&lt;&gt;"HONORARIO" ), CONCATENATE(IF(H232="X","H",H232),"_",IF(OR(P232=5,P232=6),_xlfn.CONCAT(P232,"A"),P232),"_",VLOOKUP(T232,Datos!$B$2:$C$5,2,TRUE)),""))</f>
        <v>M_1_[hasta 3]</v>
      </c>
      <c r="AD232" s="178">
        <f t="shared" si="108"/>
        <v>41050</v>
      </c>
      <c r="AE232" s="82" t="str">
        <f t="shared" si="109"/>
        <v>-</v>
      </c>
      <c r="AF232" s="83" t="str">
        <f t="shared" si="110"/>
        <v>070601</v>
      </c>
      <c r="AG232" s="84"/>
      <c r="AH232" s="85" t="str">
        <f t="shared" si="111"/>
        <v>Corporación de Fomento de la Producción</v>
      </c>
      <c r="AI232" s="82" t="str">
        <f t="shared" si="112"/>
        <v>-</v>
      </c>
      <c r="AJ232" s="82">
        <f t="shared" si="113"/>
        <v>5</v>
      </c>
      <c r="AK232" s="82" t="str">
        <f t="shared" si="114"/>
        <v>-</v>
      </c>
      <c r="AL232" s="82" t="str">
        <f t="shared" si="115"/>
        <v>Identifica este registro como MUJER</v>
      </c>
      <c r="AM232" s="82" t="str">
        <f t="shared" si="116"/>
        <v>-</v>
      </c>
      <c r="AN232" s="82" t="str">
        <f t="shared" si="117"/>
        <v>-</v>
      </c>
      <c r="AO232" s="82" t="str">
        <f t="shared" si="118"/>
        <v>-</v>
      </c>
      <c r="AP232" s="57" t="str">
        <f t="shared" si="119"/>
        <v>-</v>
      </c>
      <c r="AQ232" s="86" t="str">
        <f t="shared" si="120"/>
        <v>-</v>
      </c>
      <c r="AR232" s="86" t="str">
        <f>IF(N232="","PRIMER_DIA en blanco",
IF(AND(M232="01",N232&gt;=L_Conversion!$C$118,N232&lt;=L_Conversion!$D$118),"-",
IF(AND(M232="02",N232&gt;=L_Conversion!$C$119,N232&lt;=L_Conversion!$D$119),"-",
IF(AND(M232="03",N232&gt;=L_Conversion!$C$120,N232&lt;=L_Conversion!$D$120),"-",
IF(AND(M232="04",N232&gt;=L_Conversion!$C$121,N232&lt;=L_Conversion!$D$121),"-",
IF(AND(M232="05",N232&gt;=L_Conversion!$C$122,N232&lt;=L_Conversion!$D$122),"-",
IF(AND(M232="06",N232&gt;=L_Conversion!$C$123,N232&lt;=L_Conversion!$D$123),"-",
IF(AND(M232="07",N232&gt;=L_Conversion!$C$124,N232&lt;=L_Conversion!$D$124),"-",
IF(AND(M232="08",N232&gt;=L_Conversion!$C$125,N232&lt;=L_Conversion!$D$125),"-",
IF(AND(M232="09",N232&gt;=L_Conversion!$C$126,N232&lt;=L_Conversion!$D$126),"-",
IF(AND(M232="10",N232&gt;=L_Conversion!$C$127,N232&lt;=L_Conversion!$D$127),"-",
IF(AND(M232="11",N232&gt;=L_Conversion!$C$128,N232&lt;=L_Conversion!$D$128),"-",
IF(AND(M232="12",N232&gt;=L_Conversion!$C$129,N232&lt;=L_Conversion!$D$129),"-",
IF(AND(M232="13",N232&gt;=L_Conversion!$C$116,N232&lt;=L_Conversion!$D$116),"-",
IF(AND(M232="14",N232&gt;=L_Conversion!$C$117,N232&lt;=L_Conversion!$D$117),"-",
"PRIMER_DIA fuera de rango")))))))))))))))</f>
        <v>-</v>
      </c>
      <c r="AS232" s="86" t="str">
        <f t="shared" si="121"/>
        <v>-</v>
      </c>
      <c r="AT232" s="86" t="str">
        <f t="shared" si="122"/>
        <v>-</v>
      </c>
      <c r="AU232" s="86" t="str">
        <f t="shared" si="123"/>
        <v>-</v>
      </c>
      <c r="AV232" s="86" t="str">
        <f t="shared" si="124"/>
        <v>-</v>
      </c>
      <c r="AW232" s="86" t="str">
        <f t="shared" si="125"/>
        <v>-</v>
      </c>
      <c r="AX232" s="86" t="str">
        <f t="shared" si="126"/>
        <v>-</v>
      </c>
      <c r="AY232" s="86" t="str">
        <f t="shared" si="127"/>
        <v>-</v>
      </c>
      <c r="AZ232" s="86" t="str">
        <f t="shared" si="128"/>
        <v>-</v>
      </c>
      <c r="BA232" s="86" t="str">
        <f t="shared" si="129"/>
        <v>-</v>
      </c>
      <c r="BB232" s="86" t="str">
        <f t="shared" si="130"/>
        <v>-</v>
      </c>
      <c r="BC232" s="86" t="str">
        <f t="shared" si="131"/>
        <v>-</v>
      </c>
      <c r="BD232" s="86" t="str">
        <f t="shared" si="132"/>
        <v>-</v>
      </c>
      <c r="BE232" s="86" t="str">
        <f t="shared" si="133"/>
        <v>-</v>
      </c>
      <c r="BF232" s="86" t="str">
        <f t="shared" si="134"/>
        <v>-</v>
      </c>
    </row>
    <row r="233" spans="1:58" x14ac:dyDescent="0.2">
      <c r="A233" s="19" t="s">
        <v>1144</v>
      </c>
      <c r="B233" s="19" t="s">
        <v>76</v>
      </c>
      <c r="C233" s="19">
        <v>10213912</v>
      </c>
      <c r="D233" s="81">
        <v>7</v>
      </c>
      <c r="E233" s="19" t="s">
        <v>1404</v>
      </c>
      <c r="F233" s="19" t="s">
        <v>1210</v>
      </c>
      <c r="G233" s="19" t="s">
        <v>1405</v>
      </c>
      <c r="H233" s="19" t="s">
        <v>1033</v>
      </c>
      <c r="I233" s="19" t="s">
        <v>662</v>
      </c>
      <c r="J233" s="19">
        <v>80</v>
      </c>
      <c r="K233" s="19" t="s">
        <v>563</v>
      </c>
      <c r="L233" s="19" t="s">
        <v>502</v>
      </c>
      <c r="M233" s="19" t="s">
        <v>21</v>
      </c>
      <c r="N233" s="19">
        <v>45716</v>
      </c>
      <c r="O233" s="19">
        <v>30</v>
      </c>
      <c r="P233" s="81">
        <v>1</v>
      </c>
      <c r="Q233" s="19" t="s">
        <v>23</v>
      </c>
      <c r="R233" s="19" t="s">
        <v>11</v>
      </c>
      <c r="S233" s="19" t="s">
        <v>23</v>
      </c>
      <c r="T233" s="19">
        <v>30</v>
      </c>
      <c r="U233" s="19" t="s">
        <v>11</v>
      </c>
      <c r="V233" s="19" t="s">
        <v>11</v>
      </c>
      <c r="W233" s="19" t="s">
        <v>19</v>
      </c>
      <c r="X233" s="19">
        <v>1754721</v>
      </c>
      <c r="Y233" s="19" t="s">
        <v>735</v>
      </c>
      <c r="Z233" s="19">
        <v>30</v>
      </c>
      <c r="AA233" s="19">
        <v>1754721</v>
      </c>
      <c r="AB233" s="19">
        <v>1754721</v>
      </c>
      <c r="AC233" s="178" t="str">
        <f>IF(OR(M233="13",M233="14",P233=8),"",IF(AND(OR(S233="AUTORIZADO", S233="PENDIENTE", S233="REDUCIDO", S233="AMPLIADO"),L233&lt;&gt;"HONORARIO" ), CONCATENATE(IF(H233="X","H",H233),"_",IF(OR(P233=5,P233=6),_xlfn.CONCAT(P233,"A"),P233),"_",VLOOKUP(T233,Datos!$B$2:$C$5,2,TRUE)),""))</f>
        <v>M_1_[11 +]</v>
      </c>
      <c r="AD233" s="178">
        <f t="shared" si="108"/>
        <v>3509442</v>
      </c>
      <c r="AE233" s="82" t="str">
        <f t="shared" si="109"/>
        <v>-</v>
      </c>
      <c r="AF233" s="83" t="str">
        <f t="shared" si="110"/>
        <v>070601</v>
      </c>
      <c r="AG233" s="84"/>
      <c r="AH233" s="85" t="str">
        <f t="shared" si="111"/>
        <v>Corporación de Fomento de la Producción</v>
      </c>
      <c r="AI233" s="82" t="str">
        <f t="shared" si="112"/>
        <v>-</v>
      </c>
      <c r="AJ233" s="82">
        <f t="shared" si="113"/>
        <v>7</v>
      </c>
      <c r="AK233" s="82" t="str">
        <f t="shared" si="114"/>
        <v>-</v>
      </c>
      <c r="AL233" s="82" t="str">
        <f t="shared" si="115"/>
        <v>Identifica este registro como MUJER</v>
      </c>
      <c r="AM233" s="82" t="str">
        <f t="shared" si="116"/>
        <v>-</v>
      </c>
      <c r="AN233" s="82" t="str">
        <f t="shared" si="117"/>
        <v>-</v>
      </c>
      <c r="AO233" s="82" t="str">
        <f t="shared" si="118"/>
        <v>-</v>
      </c>
      <c r="AP233" s="57" t="str">
        <f t="shared" si="119"/>
        <v>-</v>
      </c>
      <c r="AQ233" s="86" t="str">
        <f t="shared" si="120"/>
        <v>-</v>
      </c>
      <c r="AR233" s="86" t="str">
        <f>IF(N233="","PRIMER_DIA en blanco",
IF(AND(M233="01",N233&gt;=L_Conversion!$C$118,N233&lt;=L_Conversion!$D$118),"-",
IF(AND(M233="02",N233&gt;=L_Conversion!$C$119,N233&lt;=L_Conversion!$D$119),"-",
IF(AND(M233="03",N233&gt;=L_Conversion!$C$120,N233&lt;=L_Conversion!$D$120),"-",
IF(AND(M233="04",N233&gt;=L_Conversion!$C$121,N233&lt;=L_Conversion!$D$121),"-",
IF(AND(M233="05",N233&gt;=L_Conversion!$C$122,N233&lt;=L_Conversion!$D$122),"-",
IF(AND(M233="06",N233&gt;=L_Conversion!$C$123,N233&lt;=L_Conversion!$D$123),"-",
IF(AND(M233="07",N233&gt;=L_Conversion!$C$124,N233&lt;=L_Conversion!$D$124),"-",
IF(AND(M233="08",N233&gt;=L_Conversion!$C$125,N233&lt;=L_Conversion!$D$125),"-",
IF(AND(M233="09",N233&gt;=L_Conversion!$C$126,N233&lt;=L_Conversion!$D$126),"-",
IF(AND(M233="10",N233&gt;=L_Conversion!$C$127,N233&lt;=L_Conversion!$D$127),"-",
IF(AND(M233="11",N233&gt;=L_Conversion!$C$128,N233&lt;=L_Conversion!$D$128),"-",
IF(AND(M233="12",N233&gt;=L_Conversion!$C$129,N233&lt;=L_Conversion!$D$129),"-",
IF(AND(M233="13",N233&gt;=L_Conversion!$C$116,N233&lt;=L_Conversion!$D$116),"-",
IF(AND(M233="14",N233&gt;=L_Conversion!$C$117,N233&lt;=L_Conversion!$D$117),"-",
"PRIMER_DIA fuera de rango")))))))))))))))</f>
        <v>-</v>
      </c>
      <c r="AS233" s="86" t="str">
        <f t="shared" si="121"/>
        <v>-</v>
      </c>
      <c r="AT233" s="86" t="str">
        <f t="shared" si="122"/>
        <v>-</v>
      </c>
      <c r="AU233" s="86" t="str">
        <f t="shared" si="123"/>
        <v>-</v>
      </c>
      <c r="AV233" s="86" t="str">
        <f t="shared" si="124"/>
        <v>-</v>
      </c>
      <c r="AW233" s="86" t="str">
        <f t="shared" si="125"/>
        <v>-</v>
      </c>
      <c r="AX233" s="86" t="str">
        <f t="shared" si="126"/>
        <v>-</v>
      </c>
      <c r="AY233" s="86" t="str">
        <f t="shared" si="127"/>
        <v>-</v>
      </c>
      <c r="AZ233" s="86" t="str">
        <f t="shared" si="128"/>
        <v>-</v>
      </c>
      <c r="BA233" s="86" t="str">
        <f t="shared" si="129"/>
        <v>-</v>
      </c>
      <c r="BB233" s="86" t="str">
        <f t="shared" si="130"/>
        <v>-</v>
      </c>
      <c r="BC233" s="86" t="str">
        <f t="shared" si="131"/>
        <v>-</v>
      </c>
      <c r="BD233" s="86" t="str">
        <f t="shared" si="132"/>
        <v>-</v>
      </c>
      <c r="BE233" s="86" t="str">
        <f t="shared" si="133"/>
        <v>-</v>
      </c>
      <c r="BF233" s="86" t="str">
        <f t="shared" si="134"/>
        <v>-</v>
      </c>
    </row>
    <row r="234" spans="1:58" x14ac:dyDescent="0.2">
      <c r="A234" s="19" t="s">
        <v>1144</v>
      </c>
      <c r="B234" s="19" t="s">
        <v>76</v>
      </c>
      <c r="C234" s="19">
        <v>10318089</v>
      </c>
      <c r="D234" s="81">
        <v>9</v>
      </c>
      <c r="E234" s="19" t="s">
        <v>1515</v>
      </c>
      <c r="F234" s="19" t="s">
        <v>1516</v>
      </c>
      <c r="G234" s="19" t="s">
        <v>1517</v>
      </c>
      <c r="H234" s="19" t="s">
        <v>1033</v>
      </c>
      <c r="I234" s="19" t="s">
        <v>662</v>
      </c>
      <c r="J234" s="19">
        <v>80</v>
      </c>
      <c r="K234" s="19" t="s">
        <v>563</v>
      </c>
      <c r="L234" s="19" t="s">
        <v>502</v>
      </c>
      <c r="M234" s="19" t="s">
        <v>21</v>
      </c>
      <c r="N234" s="19">
        <v>45716</v>
      </c>
      <c r="O234" s="19">
        <v>15</v>
      </c>
      <c r="P234" s="81">
        <v>1</v>
      </c>
      <c r="Q234" s="19" t="s">
        <v>23</v>
      </c>
      <c r="R234" s="19" t="s">
        <v>11</v>
      </c>
      <c r="S234" s="19" t="s">
        <v>23</v>
      </c>
      <c r="T234" s="19">
        <v>15</v>
      </c>
      <c r="U234" s="19" t="s">
        <v>11</v>
      </c>
      <c r="V234" s="19" t="s">
        <v>11</v>
      </c>
      <c r="W234" s="19" t="s">
        <v>19</v>
      </c>
      <c r="X234" s="19">
        <v>1597099</v>
      </c>
      <c r="Y234" s="19" t="s">
        <v>735</v>
      </c>
      <c r="Z234" s="19">
        <v>15</v>
      </c>
      <c r="AA234" s="19">
        <v>1597099</v>
      </c>
      <c r="AB234" s="19">
        <v>1597099</v>
      </c>
      <c r="AC234" s="178" t="str">
        <f>IF(OR(M234="13",M234="14",P234=8),"",IF(AND(OR(S234="AUTORIZADO", S234="PENDIENTE", S234="REDUCIDO", S234="AMPLIADO"),L234&lt;&gt;"HONORARIO" ), CONCATENATE(IF(H234="X","H",H234),"_",IF(OR(P234=5,P234=6),_xlfn.CONCAT(P234,"A"),P234),"_",VLOOKUP(T234,Datos!$B$2:$C$5,2,TRUE)),""))</f>
        <v>M_1_[11 +]</v>
      </c>
      <c r="AD234" s="178">
        <f t="shared" si="108"/>
        <v>3194198</v>
      </c>
      <c r="AE234" s="82" t="str">
        <f t="shared" si="109"/>
        <v>-</v>
      </c>
      <c r="AF234" s="83" t="str">
        <f t="shared" si="110"/>
        <v>070601</v>
      </c>
      <c r="AG234" s="84"/>
      <c r="AH234" s="85" t="str">
        <f t="shared" si="111"/>
        <v>Corporación de Fomento de la Producción</v>
      </c>
      <c r="AI234" s="82" t="str">
        <f t="shared" si="112"/>
        <v>-</v>
      </c>
      <c r="AJ234" s="82">
        <f t="shared" si="113"/>
        <v>9</v>
      </c>
      <c r="AK234" s="82" t="str">
        <f t="shared" si="114"/>
        <v>-</v>
      </c>
      <c r="AL234" s="82" t="str">
        <f t="shared" si="115"/>
        <v>Identifica este registro como MUJER</v>
      </c>
      <c r="AM234" s="82" t="str">
        <f t="shared" si="116"/>
        <v>-</v>
      </c>
      <c r="AN234" s="82" t="str">
        <f t="shared" si="117"/>
        <v>-</v>
      </c>
      <c r="AO234" s="82" t="str">
        <f t="shared" si="118"/>
        <v>-</v>
      </c>
      <c r="AP234" s="57" t="str">
        <f t="shared" si="119"/>
        <v>-</v>
      </c>
      <c r="AQ234" s="86" t="str">
        <f t="shared" si="120"/>
        <v>-</v>
      </c>
      <c r="AR234" s="86" t="str">
        <f>IF(N234="","PRIMER_DIA en blanco",
IF(AND(M234="01",N234&gt;=L_Conversion!$C$118,N234&lt;=L_Conversion!$D$118),"-",
IF(AND(M234="02",N234&gt;=L_Conversion!$C$119,N234&lt;=L_Conversion!$D$119),"-",
IF(AND(M234="03",N234&gt;=L_Conversion!$C$120,N234&lt;=L_Conversion!$D$120),"-",
IF(AND(M234="04",N234&gt;=L_Conversion!$C$121,N234&lt;=L_Conversion!$D$121),"-",
IF(AND(M234="05",N234&gt;=L_Conversion!$C$122,N234&lt;=L_Conversion!$D$122),"-",
IF(AND(M234="06",N234&gt;=L_Conversion!$C$123,N234&lt;=L_Conversion!$D$123),"-",
IF(AND(M234="07",N234&gt;=L_Conversion!$C$124,N234&lt;=L_Conversion!$D$124),"-",
IF(AND(M234="08",N234&gt;=L_Conversion!$C$125,N234&lt;=L_Conversion!$D$125),"-",
IF(AND(M234="09",N234&gt;=L_Conversion!$C$126,N234&lt;=L_Conversion!$D$126),"-",
IF(AND(M234="10",N234&gt;=L_Conversion!$C$127,N234&lt;=L_Conversion!$D$127),"-",
IF(AND(M234="11",N234&gt;=L_Conversion!$C$128,N234&lt;=L_Conversion!$D$128),"-",
IF(AND(M234="12",N234&gt;=L_Conversion!$C$129,N234&lt;=L_Conversion!$D$129),"-",
IF(AND(M234="13",N234&gt;=L_Conversion!$C$116,N234&lt;=L_Conversion!$D$116),"-",
IF(AND(M234="14",N234&gt;=L_Conversion!$C$117,N234&lt;=L_Conversion!$D$117),"-",
"PRIMER_DIA fuera de rango")))))))))))))))</f>
        <v>-</v>
      </c>
      <c r="AS234" s="86" t="str">
        <f t="shared" si="121"/>
        <v>-</v>
      </c>
      <c r="AT234" s="86" t="str">
        <f t="shared" si="122"/>
        <v>-</v>
      </c>
      <c r="AU234" s="86" t="str">
        <f t="shared" si="123"/>
        <v>-</v>
      </c>
      <c r="AV234" s="86" t="str">
        <f t="shared" si="124"/>
        <v>-</v>
      </c>
      <c r="AW234" s="86" t="str">
        <f t="shared" si="125"/>
        <v>-</v>
      </c>
      <c r="AX234" s="86" t="str">
        <f t="shared" si="126"/>
        <v>-</v>
      </c>
      <c r="AY234" s="86" t="str">
        <f t="shared" si="127"/>
        <v>-</v>
      </c>
      <c r="AZ234" s="86" t="str">
        <f t="shared" si="128"/>
        <v>-</v>
      </c>
      <c r="BA234" s="86" t="str">
        <f t="shared" si="129"/>
        <v>-</v>
      </c>
      <c r="BB234" s="86" t="str">
        <f t="shared" si="130"/>
        <v>-</v>
      </c>
      <c r="BC234" s="86" t="str">
        <f t="shared" si="131"/>
        <v>-</v>
      </c>
      <c r="BD234" s="86" t="str">
        <f t="shared" si="132"/>
        <v>-</v>
      </c>
      <c r="BE234" s="86" t="str">
        <f t="shared" si="133"/>
        <v>-</v>
      </c>
      <c r="BF234" s="86" t="str">
        <f t="shared" si="134"/>
        <v>-</v>
      </c>
    </row>
    <row r="235" spans="1:58" x14ac:dyDescent="0.2">
      <c r="A235" s="19" t="s">
        <v>1144</v>
      </c>
      <c r="B235" s="19" t="s">
        <v>76</v>
      </c>
      <c r="C235" s="19">
        <v>18840001</v>
      </c>
      <c r="D235" s="81">
        <v>9</v>
      </c>
      <c r="E235" s="19" t="s">
        <v>1173</v>
      </c>
      <c r="F235" s="19" t="s">
        <v>1398</v>
      </c>
      <c r="G235" s="19" t="s">
        <v>1480</v>
      </c>
      <c r="H235" s="19" t="s">
        <v>663</v>
      </c>
      <c r="I235" s="19" t="s">
        <v>662</v>
      </c>
      <c r="J235" s="19">
        <v>80</v>
      </c>
      <c r="K235" s="19" t="s">
        <v>563</v>
      </c>
      <c r="L235" s="19" t="s">
        <v>502</v>
      </c>
      <c r="M235" s="19" t="s">
        <v>21</v>
      </c>
      <c r="N235" s="19">
        <v>45716</v>
      </c>
      <c r="O235" s="19">
        <v>7</v>
      </c>
      <c r="P235" s="81">
        <v>1</v>
      </c>
      <c r="Q235" s="19" t="s">
        <v>23</v>
      </c>
      <c r="R235" s="19" t="s">
        <v>11</v>
      </c>
      <c r="S235" s="19" t="s">
        <v>23</v>
      </c>
      <c r="T235" s="19">
        <v>7</v>
      </c>
      <c r="U235" s="19" t="s">
        <v>11</v>
      </c>
      <c r="V235" s="19" t="s">
        <v>11</v>
      </c>
      <c r="W235" s="19" t="s">
        <v>19</v>
      </c>
      <c r="X235" s="19">
        <v>381641</v>
      </c>
      <c r="Y235" s="19" t="s">
        <v>735</v>
      </c>
      <c r="Z235" s="19">
        <v>7</v>
      </c>
      <c r="AA235" s="19">
        <v>381641</v>
      </c>
      <c r="AB235" s="19">
        <v>381641</v>
      </c>
      <c r="AC235" s="178" t="str">
        <f>IF(OR(M235="13",M235="14",P235=8),"",IF(AND(OR(S235="AUTORIZADO", S235="PENDIENTE", S235="REDUCIDO", S235="AMPLIADO"),L235&lt;&gt;"HONORARIO" ), CONCATENATE(IF(H235="X","H",H235),"_",IF(OR(P235=5,P235=6),_xlfn.CONCAT(P235,"A"),P235),"_",VLOOKUP(T235,Datos!$B$2:$C$5,2,TRUE)),""))</f>
        <v>H_1_[4 a 10]</v>
      </c>
      <c r="AD235" s="178">
        <f t="shared" si="108"/>
        <v>763282</v>
      </c>
      <c r="AE235" s="82" t="str">
        <f t="shared" si="109"/>
        <v>-</v>
      </c>
      <c r="AF235" s="83" t="str">
        <f t="shared" si="110"/>
        <v>070601</v>
      </c>
      <c r="AG235" s="84"/>
      <c r="AH235" s="85" t="str">
        <f t="shared" si="111"/>
        <v>Corporación de Fomento de la Producción</v>
      </c>
      <c r="AI235" s="82" t="str">
        <f t="shared" si="112"/>
        <v>-</v>
      </c>
      <c r="AJ235" s="82">
        <f t="shared" si="113"/>
        <v>9</v>
      </c>
      <c r="AK235" s="82" t="str">
        <f t="shared" si="114"/>
        <v>-</v>
      </c>
      <c r="AL235" s="82" t="str">
        <f t="shared" si="115"/>
        <v>Identifica este registro como HOMBRE</v>
      </c>
      <c r="AM235" s="82" t="str">
        <f t="shared" si="116"/>
        <v>-</v>
      </c>
      <c r="AN235" s="82" t="str">
        <f t="shared" si="117"/>
        <v>-</v>
      </c>
      <c r="AO235" s="82" t="str">
        <f t="shared" si="118"/>
        <v>-</v>
      </c>
      <c r="AP235" s="57" t="str">
        <f t="shared" si="119"/>
        <v>-</v>
      </c>
      <c r="AQ235" s="86" t="str">
        <f t="shared" si="120"/>
        <v>-</v>
      </c>
      <c r="AR235" s="86" t="str">
        <f>IF(N235="","PRIMER_DIA en blanco",
IF(AND(M235="01",N235&gt;=L_Conversion!$C$118,N235&lt;=L_Conversion!$D$118),"-",
IF(AND(M235="02",N235&gt;=L_Conversion!$C$119,N235&lt;=L_Conversion!$D$119),"-",
IF(AND(M235="03",N235&gt;=L_Conversion!$C$120,N235&lt;=L_Conversion!$D$120),"-",
IF(AND(M235="04",N235&gt;=L_Conversion!$C$121,N235&lt;=L_Conversion!$D$121),"-",
IF(AND(M235="05",N235&gt;=L_Conversion!$C$122,N235&lt;=L_Conversion!$D$122),"-",
IF(AND(M235="06",N235&gt;=L_Conversion!$C$123,N235&lt;=L_Conversion!$D$123),"-",
IF(AND(M235="07",N235&gt;=L_Conversion!$C$124,N235&lt;=L_Conversion!$D$124),"-",
IF(AND(M235="08",N235&gt;=L_Conversion!$C$125,N235&lt;=L_Conversion!$D$125),"-",
IF(AND(M235="09",N235&gt;=L_Conversion!$C$126,N235&lt;=L_Conversion!$D$126),"-",
IF(AND(M235="10",N235&gt;=L_Conversion!$C$127,N235&lt;=L_Conversion!$D$127),"-",
IF(AND(M235="11",N235&gt;=L_Conversion!$C$128,N235&lt;=L_Conversion!$D$128),"-",
IF(AND(M235="12",N235&gt;=L_Conversion!$C$129,N235&lt;=L_Conversion!$D$129),"-",
IF(AND(M235="13",N235&gt;=L_Conversion!$C$116,N235&lt;=L_Conversion!$D$116),"-",
IF(AND(M235="14",N235&gt;=L_Conversion!$C$117,N235&lt;=L_Conversion!$D$117),"-",
"PRIMER_DIA fuera de rango")))))))))))))))</f>
        <v>-</v>
      </c>
      <c r="AS235" s="86" t="str">
        <f t="shared" si="121"/>
        <v>-</v>
      </c>
      <c r="AT235" s="86" t="str">
        <f t="shared" si="122"/>
        <v>-</v>
      </c>
      <c r="AU235" s="86" t="str">
        <f t="shared" si="123"/>
        <v>-</v>
      </c>
      <c r="AV235" s="86" t="str">
        <f t="shared" si="124"/>
        <v>-</v>
      </c>
      <c r="AW235" s="86" t="str">
        <f t="shared" si="125"/>
        <v>-</v>
      </c>
      <c r="AX235" s="86" t="str">
        <f t="shared" si="126"/>
        <v>-</v>
      </c>
      <c r="AY235" s="86" t="str">
        <f t="shared" si="127"/>
        <v>-</v>
      </c>
      <c r="AZ235" s="86" t="str">
        <f t="shared" si="128"/>
        <v>-</v>
      </c>
      <c r="BA235" s="86" t="str">
        <f t="shared" si="129"/>
        <v>-</v>
      </c>
      <c r="BB235" s="86" t="str">
        <f t="shared" si="130"/>
        <v>-</v>
      </c>
      <c r="BC235" s="86" t="str">
        <f t="shared" si="131"/>
        <v>-</v>
      </c>
      <c r="BD235" s="86" t="str">
        <f t="shared" si="132"/>
        <v>-</v>
      </c>
      <c r="BE235" s="86" t="str">
        <f t="shared" si="133"/>
        <v>-</v>
      </c>
      <c r="BF235" s="86" t="str">
        <f t="shared" si="134"/>
        <v>-</v>
      </c>
    </row>
    <row r="236" spans="1:58" x14ac:dyDescent="0.2">
      <c r="A236" s="19" t="s">
        <v>1144</v>
      </c>
      <c r="B236" s="19" t="s">
        <v>76</v>
      </c>
      <c r="C236" s="19">
        <v>10219404</v>
      </c>
      <c r="D236" s="81">
        <v>7</v>
      </c>
      <c r="E236" s="19" t="s">
        <v>1365</v>
      </c>
      <c r="F236" s="19" t="s">
        <v>1366</v>
      </c>
      <c r="G236" s="19" t="s">
        <v>1367</v>
      </c>
      <c r="H236" s="19" t="s">
        <v>1033</v>
      </c>
      <c r="I236" s="19" t="s">
        <v>662</v>
      </c>
      <c r="J236" s="19">
        <v>80</v>
      </c>
      <c r="K236" s="19" t="s">
        <v>563</v>
      </c>
      <c r="L236" s="19" t="s">
        <v>502</v>
      </c>
      <c r="M236" s="19" t="s">
        <v>16</v>
      </c>
      <c r="N236" s="19">
        <v>45719</v>
      </c>
      <c r="O236" s="19">
        <v>3</v>
      </c>
      <c r="P236" s="81">
        <v>1</v>
      </c>
      <c r="Q236" s="19" t="s">
        <v>23</v>
      </c>
      <c r="R236" s="19" t="s">
        <v>11</v>
      </c>
      <c r="S236" s="19" t="s">
        <v>23</v>
      </c>
      <c r="T236" s="19">
        <v>3</v>
      </c>
      <c r="U236" s="19" t="s">
        <v>11</v>
      </c>
      <c r="V236" s="19" t="s">
        <v>19</v>
      </c>
      <c r="W236" s="19" t="s">
        <v>19</v>
      </c>
      <c r="X236" s="19">
        <v>79603</v>
      </c>
      <c r="Y236" s="19" t="s">
        <v>735</v>
      </c>
      <c r="Z236" s="19">
        <v>3</v>
      </c>
      <c r="AA236" s="19">
        <v>79603</v>
      </c>
      <c r="AB236" s="19">
        <v>79603</v>
      </c>
      <c r="AC236" s="178" t="str">
        <f>IF(OR(M236="13",M236="14",P236=8),"",IF(AND(OR(S236="AUTORIZADO", S236="PENDIENTE", S236="REDUCIDO", S236="AMPLIADO"),L236&lt;&gt;"HONORARIO" ), CONCATENATE(IF(H236="X","H",H236),"_",IF(OR(P236=5,P236=6),_xlfn.CONCAT(P236,"A"),P236),"_",VLOOKUP(T236,Datos!$B$2:$C$5,2,TRUE)),""))</f>
        <v>M_1_[hasta 3]</v>
      </c>
      <c r="AD236" s="178">
        <f t="shared" si="108"/>
        <v>159206</v>
      </c>
      <c r="AE236" s="82" t="str">
        <f t="shared" si="109"/>
        <v>-</v>
      </c>
      <c r="AF236" s="83" t="str">
        <f t="shared" si="110"/>
        <v>070601</v>
      </c>
      <c r="AG236" s="84"/>
      <c r="AH236" s="85" t="str">
        <f t="shared" si="111"/>
        <v>Corporación de Fomento de la Producción</v>
      </c>
      <c r="AI236" s="82" t="str">
        <f t="shared" si="112"/>
        <v>-</v>
      </c>
      <c r="AJ236" s="82">
        <f t="shared" si="113"/>
        <v>7</v>
      </c>
      <c r="AK236" s="82" t="str">
        <f t="shared" si="114"/>
        <v>-</v>
      </c>
      <c r="AL236" s="82" t="str">
        <f t="shared" si="115"/>
        <v>Identifica este registro como MUJER</v>
      </c>
      <c r="AM236" s="82" t="str">
        <f t="shared" si="116"/>
        <v>-</v>
      </c>
      <c r="AN236" s="82" t="str">
        <f t="shared" si="117"/>
        <v>-</v>
      </c>
      <c r="AO236" s="82" t="str">
        <f t="shared" si="118"/>
        <v>-</v>
      </c>
      <c r="AP236" s="57" t="str">
        <f t="shared" si="119"/>
        <v>-</v>
      </c>
      <c r="AQ236" s="86" t="str">
        <f t="shared" si="120"/>
        <v>-</v>
      </c>
      <c r="AR236" s="86" t="str">
        <f>IF(N236="","PRIMER_DIA en blanco",
IF(AND(M236="01",N236&gt;=L_Conversion!$C$118,N236&lt;=L_Conversion!$D$118),"-",
IF(AND(M236="02",N236&gt;=L_Conversion!$C$119,N236&lt;=L_Conversion!$D$119),"-",
IF(AND(M236="03",N236&gt;=L_Conversion!$C$120,N236&lt;=L_Conversion!$D$120),"-",
IF(AND(M236="04",N236&gt;=L_Conversion!$C$121,N236&lt;=L_Conversion!$D$121),"-",
IF(AND(M236="05",N236&gt;=L_Conversion!$C$122,N236&lt;=L_Conversion!$D$122),"-",
IF(AND(M236="06",N236&gt;=L_Conversion!$C$123,N236&lt;=L_Conversion!$D$123),"-",
IF(AND(M236="07",N236&gt;=L_Conversion!$C$124,N236&lt;=L_Conversion!$D$124),"-",
IF(AND(M236="08",N236&gt;=L_Conversion!$C$125,N236&lt;=L_Conversion!$D$125),"-",
IF(AND(M236="09",N236&gt;=L_Conversion!$C$126,N236&lt;=L_Conversion!$D$126),"-",
IF(AND(M236="10",N236&gt;=L_Conversion!$C$127,N236&lt;=L_Conversion!$D$127),"-",
IF(AND(M236="11",N236&gt;=L_Conversion!$C$128,N236&lt;=L_Conversion!$D$128),"-",
IF(AND(M236="12",N236&gt;=L_Conversion!$C$129,N236&lt;=L_Conversion!$D$129),"-",
IF(AND(M236="13",N236&gt;=L_Conversion!$C$116,N236&lt;=L_Conversion!$D$116),"-",
IF(AND(M236="14",N236&gt;=L_Conversion!$C$117,N236&lt;=L_Conversion!$D$117),"-",
"PRIMER_DIA fuera de rango")))))))))))))))</f>
        <v>-</v>
      </c>
      <c r="AS236" s="86" t="str">
        <f t="shared" si="121"/>
        <v>-</v>
      </c>
      <c r="AT236" s="86" t="str">
        <f t="shared" si="122"/>
        <v>-</v>
      </c>
      <c r="AU236" s="86" t="str">
        <f t="shared" si="123"/>
        <v>-</v>
      </c>
      <c r="AV236" s="86" t="str">
        <f t="shared" si="124"/>
        <v>-</v>
      </c>
      <c r="AW236" s="86" t="str">
        <f t="shared" si="125"/>
        <v>-</v>
      </c>
      <c r="AX236" s="86" t="str">
        <f t="shared" si="126"/>
        <v>-</v>
      </c>
      <c r="AY236" s="86" t="str">
        <f t="shared" si="127"/>
        <v>-</v>
      </c>
      <c r="AZ236" s="86" t="str">
        <f t="shared" si="128"/>
        <v>-</v>
      </c>
      <c r="BA236" s="86" t="str">
        <f t="shared" si="129"/>
        <v>-</v>
      </c>
      <c r="BB236" s="86" t="str">
        <f t="shared" si="130"/>
        <v>-</v>
      </c>
      <c r="BC236" s="86" t="str">
        <f t="shared" si="131"/>
        <v>-</v>
      </c>
      <c r="BD236" s="86" t="str">
        <f t="shared" si="132"/>
        <v>-</v>
      </c>
      <c r="BE236" s="86" t="str">
        <f t="shared" si="133"/>
        <v>-</v>
      </c>
      <c r="BF236" s="86" t="str">
        <f t="shared" si="134"/>
        <v>-</v>
      </c>
    </row>
    <row r="237" spans="1:58" x14ac:dyDescent="0.2">
      <c r="A237" s="19" t="s">
        <v>1144</v>
      </c>
      <c r="B237" s="19" t="s">
        <v>76</v>
      </c>
      <c r="C237" s="19">
        <v>13017680</v>
      </c>
      <c r="D237" s="81">
        <v>1</v>
      </c>
      <c r="E237" s="19" t="s">
        <v>1180</v>
      </c>
      <c r="F237" s="19" t="s">
        <v>1545</v>
      </c>
      <c r="G237" s="19" t="s">
        <v>1546</v>
      </c>
      <c r="H237" s="19" t="s">
        <v>1033</v>
      </c>
      <c r="I237" s="19" t="s">
        <v>663</v>
      </c>
      <c r="J237" s="19">
        <v>80</v>
      </c>
      <c r="K237" s="19" t="s">
        <v>563</v>
      </c>
      <c r="L237" s="19" t="s">
        <v>516</v>
      </c>
      <c r="M237" s="19" t="s">
        <v>16</v>
      </c>
      <c r="N237" s="19">
        <v>45719</v>
      </c>
      <c r="O237" s="19">
        <v>3</v>
      </c>
      <c r="P237" s="81">
        <v>1</v>
      </c>
      <c r="Q237" s="19" t="s">
        <v>23</v>
      </c>
      <c r="R237" s="19" t="s">
        <v>11</v>
      </c>
      <c r="S237" s="19" t="s">
        <v>23</v>
      </c>
      <c r="T237" s="19">
        <v>3</v>
      </c>
      <c r="U237" s="19" t="s">
        <v>11</v>
      </c>
      <c r="V237" s="19" t="s">
        <v>19</v>
      </c>
      <c r="W237" s="19" t="s">
        <v>19</v>
      </c>
      <c r="X237" s="19">
        <v>64638</v>
      </c>
      <c r="Y237" s="19" t="s">
        <v>735</v>
      </c>
      <c r="Z237" s="19">
        <v>3</v>
      </c>
      <c r="AA237" s="19">
        <v>64638</v>
      </c>
      <c r="AB237" s="19">
        <v>64638</v>
      </c>
      <c r="AC237" s="178" t="str">
        <f>IF(OR(M237="13",M237="14",P237=8),"",IF(AND(OR(S237="AUTORIZADO", S237="PENDIENTE", S237="REDUCIDO", S237="AMPLIADO"),L237&lt;&gt;"HONORARIO" ), CONCATENATE(IF(H237="X","H",H237),"_",IF(OR(P237=5,P237=6),_xlfn.CONCAT(P237,"A"),P237),"_",VLOOKUP(T237,Datos!$B$2:$C$5,2,TRUE)),""))</f>
        <v>M_1_[hasta 3]</v>
      </c>
      <c r="AD237" s="178">
        <f t="shared" si="108"/>
        <v>129276</v>
      </c>
      <c r="AE237" s="82" t="str">
        <f t="shared" si="109"/>
        <v>-</v>
      </c>
      <c r="AF237" s="83" t="str">
        <f t="shared" si="110"/>
        <v>070601</v>
      </c>
      <c r="AG237" s="84"/>
      <c r="AH237" s="85" t="str">
        <f t="shared" si="111"/>
        <v>Corporación de Fomento de la Producción</v>
      </c>
      <c r="AI237" s="82" t="str">
        <f t="shared" si="112"/>
        <v>-</v>
      </c>
      <c r="AJ237" s="82">
        <f t="shared" si="113"/>
        <v>1</v>
      </c>
      <c r="AK237" s="82" t="str">
        <f t="shared" si="114"/>
        <v>-</v>
      </c>
      <c r="AL237" s="82" t="str">
        <f t="shared" si="115"/>
        <v>Identifica este registro como MUJER</v>
      </c>
      <c r="AM237" s="82" t="str">
        <f t="shared" si="116"/>
        <v>-</v>
      </c>
      <c r="AN237" s="82" t="str">
        <f t="shared" si="117"/>
        <v>-</v>
      </c>
      <c r="AO237" s="82" t="str">
        <f t="shared" si="118"/>
        <v>-</v>
      </c>
      <c r="AP237" s="57" t="str">
        <f t="shared" si="119"/>
        <v>-</v>
      </c>
      <c r="AQ237" s="86" t="str">
        <f t="shared" si="120"/>
        <v>-</v>
      </c>
      <c r="AR237" s="86" t="str">
        <f>IF(N237="","PRIMER_DIA en blanco",
IF(AND(M237="01",N237&gt;=L_Conversion!$C$118,N237&lt;=L_Conversion!$D$118),"-",
IF(AND(M237="02",N237&gt;=L_Conversion!$C$119,N237&lt;=L_Conversion!$D$119),"-",
IF(AND(M237="03",N237&gt;=L_Conversion!$C$120,N237&lt;=L_Conversion!$D$120),"-",
IF(AND(M237="04",N237&gt;=L_Conversion!$C$121,N237&lt;=L_Conversion!$D$121),"-",
IF(AND(M237="05",N237&gt;=L_Conversion!$C$122,N237&lt;=L_Conversion!$D$122),"-",
IF(AND(M237="06",N237&gt;=L_Conversion!$C$123,N237&lt;=L_Conversion!$D$123),"-",
IF(AND(M237="07",N237&gt;=L_Conversion!$C$124,N237&lt;=L_Conversion!$D$124),"-",
IF(AND(M237="08",N237&gt;=L_Conversion!$C$125,N237&lt;=L_Conversion!$D$125),"-",
IF(AND(M237="09",N237&gt;=L_Conversion!$C$126,N237&lt;=L_Conversion!$D$126),"-",
IF(AND(M237="10",N237&gt;=L_Conversion!$C$127,N237&lt;=L_Conversion!$D$127),"-",
IF(AND(M237="11",N237&gt;=L_Conversion!$C$128,N237&lt;=L_Conversion!$D$128),"-",
IF(AND(M237="12",N237&gt;=L_Conversion!$C$129,N237&lt;=L_Conversion!$D$129),"-",
IF(AND(M237="13",N237&gt;=L_Conversion!$C$116,N237&lt;=L_Conversion!$D$116),"-",
IF(AND(M237="14",N237&gt;=L_Conversion!$C$117,N237&lt;=L_Conversion!$D$117),"-",
"PRIMER_DIA fuera de rango")))))))))))))))</f>
        <v>-</v>
      </c>
      <c r="AS237" s="86" t="str">
        <f t="shared" si="121"/>
        <v>-</v>
      </c>
      <c r="AT237" s="86" t="str">
        <f t="shared" si="122"/>
        <v>-</v>
      </c>
      <c r="AU237" s="86" t="str">
        <f t="shared" si="123"/>
        <v>-</v>
      </c>
      <c r="AV237" s="86" t="str">
        <f t="shared" si="124"/>
        <v>-</v>
      </c>
      <c r="AW237" s="86" t="str">
        <f t="shared" si="125"/>
        <v>-</v>
      </c>
      <c r="AX237" s="86" t="str">
        <f t="shared" si="126"/>
        <v>-</v>
      </c>
      <c r="AY237" s="86" t="str">
        <f t="shared" si="127"/>
        <v>-</v>
      </c>
      <c r="AZ237" s="86" t="str">
        <f t="shared" si="128"/>
        <v>-</v>
      </c>
      <c r="BA237" s="86" t="str">
        <f t="shared" si="129"/>
        <v>-</v>
      </c>
      <c r="BB237" s="86" t="str">
        <f t="shared" si="130"/>
        <v>-</v>
      </c>
      <c r="BC237" s="86" t="str">
        <f t="shared" si="131"/>
        <v>-</v>
      </c>
      <c r="BD237" s="86" t="str">
        <f t="shared" si="132"/>
        <v>-</v>
      </c>
      <c r="BE237" s="86" t="str">
        <f t="shared" si="133"/>
        <v>-</v>
      </c>
      <c r="BF237" s="86" t="str">
        <f t="shared" si="134"/>
        <v>-</v>
      </c>
    </row>
    <row r="238" spans="1:58" x14ac:dyDescent="0.2">
      <c r="A238" s="19" t="s">
        <v>1144</v>
      </c>
      <c r="B238" s="19" t="s">
        <v>76</v>
      </c>
      <c r="C238" s="19">
        <v>17404717</v>
      </c>
      <c r="D238" s="81">
        <v>0</v>
      </c>
      <c r="E238" s="19" t="s">
        <v>1547</v>
      </c>
      <c r="F238" s="19" t="s">
        <v>1196</v>
      </c>
      <c r="G238" s="19" t="s">
        <v>1548</v>
      </c>
      <c r="H238" s="19" t="s">
        <v>1033</v>
      </c>
      <c r="I238" s="19" t="s">
        <v>662</v>
      </c>
      <c r="J238" s="19">
        <v>80</v>
      </c>
      <c r="K238" s="19" t="s">
        <v>563</v>
      </c>
      <c r="L238" s="19" t="s">
        <v>502</v>
      </c>
      <c r="M238" s="19" t="s">
        <v>16</v>
      </c>
      <c r="N238" s="19">
        <v>45719</v>
      </c>
      <c r="O238" s="19">
        <v>84</v>
      </c>
      <c r="P238" s="81">
        <v>8</v>
      </c>
      <c r="Q238" s="19" t="s">
        <v>23</v>
      </c>
      <c r="R238" s="19" t="s">
        <v>11</v>
      </c>
      <c r="S238" s="19" t="s">
        <v>23</v>
      </c>
      <c r="T238" s="19">
        <v>84</v>
      </c>
      <c r="U238" s="19" t="s">
        <v>11</v>
      </c>
      <c r="V238" s="19" t="s">
        <v>11</v>
      </c>
      <c r="W238" s="19" t="s">
        <v>11</v>
      </c>
      <c r="X238" s="19">
        <v>0</v>
      </c>
      <c r="Y238" s="19" t="s">
        <v>741</v>
      </c>
      <c r="Z238" s="19">
        <v>0</v>
      </c>
      <c r="AA238" s="19">
        <v>0</v>
      </c>
      <c r="AB238" s="19">
        <v>0</v>
      </c>
      <c r="AC238" s="178" t="str">
        <f>IF(OR(M238="13",M238="14",P238=8),"",IF(AND(OR(S238="AUTORIZADO", S238="PENDIENTE", S238="REDUCIDO", S238="AMPLIADO"),L238&lt;&gt;"HONORARIO" ), CONCATENATE(IF(H238="X","H",H238),"_",IF(OR(P238=5,P238=6),_xlfn.CONCAT(P238,"A"),P238),"_",VLOOKUP(T238,Datos!$B$2:$C$5,2,TRUE)),""))</f>
        <v/>
      </c>
      <c r="AD238" s="178">
        <f t="shared" si="108"/>
        <v>0</v>
      </c>
      <c r="AE238" s="82" t="str">
        <f t="shared" si="109"/>
        <v>-</v>
      </c>
      <c r="AF238" s="83" t="str">
        <f t="shared" si="110"/>
        <v>070601</v>
      </c>
      <c r="AG238" s="84"/>
      <c r="AH238" s="85" t="str">
        <f t="shared" si="111"/>
        <v>Corporación de Fomento de la Producción</v>
      </c>
      <c r="AI238" s="82" t="str">
        <f t="shared" si="112"/>
        <v>-</v>
      </c>
      <c r="AJ238" s="82">
        <f t="shared" si="113"/>
        <v>0</v>
      </c>
      <c r="AK238" s="82" t="str">
        <f t="shared" si="114"/>
        <v>-</v>
      </c>
      <c r="AL238" s="82" t="str">
        <f t="shared" si="115"/>
        <v>Identifica este registro como MUJER</v>
      </c>
      <c r="AM238" s="82" t="str">
        <f t="shared" si="116"/>
        <v>-</v>
      </c>
      <c r="AN238" s="82" t="str">
        <f t="shared" si="117"/>
        <v>-</v>
      </c>
      <c r="AO238" s="82" t="str">
        <f t="shared" si="118"/>
        <v>-</v>
      </c>
      <c r="AP238" s="57" t="str">
        <f t="shared" si="119"/>
        <v>-</v>
      </c>
      <c r="AQ238" s="86" t="str">
        <f t="shared" si="120"/>
        <v>-</v>
      </c>
      <c r="AR238" s="86" t="str">
        <f>IF(N238="","PRIMER_DIA en blanco",
IF(AND(M238="01",N238&gt;=L_Conversion!$C$118,N238&lt;=L_Conversion!$D$118),"-",
IF(AND(M238="02",N238&gt;=L_Conversion!$C$119,N238&lt;=L_Conversion!$D$119),"-",
IF(AND(M238="03",N238&gt;=L_Conversion!$C$120,N238&lt;=L_Conversion!$D$120),"-",
IF(AND(M238="04",N238&gt;=L_Conversion!$C$121,N238&lt;=L_Conversion!$D$121),"-",
IF(AND(M238="05",N238&gt;=L_Conversion!$C$122,N238&lt;=L_Conversion!$D$122),"-",
IF(AND(M238="06",N238&gt;=L_Conversion!$C$123,N238&lt;=L_Conversion!$D$123),"-",
IF(AND(M238="07",N238&gt;=L_Conversion!$C$124,N238&lt;=L_Conversion!$D$124),"-",
IF(AND(M238="08",N238&gt;=L_Conversion!$C$125,N238&lt;=L_Conversion!$D$125),"-",
IF(AND(M238="09",N238&gt;=L_Conversion!$C$126,N238&lt;=L_Conversion!$D$126),"-",
IF(AND(M238="10",N238&gt;=L_Conversion!$C$127,N238&lt;=L_Conversion!$D$127),"-",
IF(AND(M238="11",N238&gt;=L_Conversion!$C$128,N238&lt;=L_Conversion!$D$128),"-",
IF(AND(M238="12",N238&gt;=L_Conversion!$C$129,N238&lt;=L_Conversion!$D$129),"-",
IF(AND(M238="13",N238&gt;=L_Conversion!$C$116,N238&lt;=L_Conversion!$D$116),"-",
IF(AND(M238="14",N238&gt;=L_Conversion!$C$117,N238&lt;=L_Conversion!$D$117),"-",
"PRIMER_DIA fuera de rango")))))))))))))))</f>
        <v>-</v>
      </c>
      <c r="AS238" s="86" t="str">
        <f t="shared" si="121"/>
        <v>-</v>
      </c>
      <c r="AT238" s="86" t="str">
        <f t="shared" si="122"/>
        <v>-</v>
      </c>
      <c r="AU238" s="86" t="str">
        <f t="shared" si="123"/>
        <v>-</v>
      </c>
      <c r="AV238" s="86" t="str">
        <f t="shared" si="124"/>
        <v>-</v>
      </c>
      <c r="AW238" s="86" t="str">
        <f t="shared" si="125"/>
        <v>-</v>
      </c>
      <c r="AX238" s="86" t="str">
        <f t="shared" si="126"/>
        <v>-</v>
      </c>
      <c r="AY238" s="86" t="str">
        <f t="shared" si="127"/>
        <v>-</v>
      </c>
      <c r="AZ238" s="86" t="str">
        <f t="shared" si="128"/>
        <v>-</v>
      </c>
      <c r="BA238" s="86" t="str">
        <f t="shared" si="129"/>
        <v>-</v>
      </c>
      <c r="BB238" s="86" t="str">
        <f t="shared" si="130"/>
        <v>-</v>
      </c>
      <c r="BC238" s="86" t="str">
        <f t="shared" si="131"/>
        <v>-</v>
      </c>
      <c r="BD238" s="86" t="str">
        <f t="shared" si="132"/>
        <v>-</v>
      </c>
      <c r="BE238" s="86" t="str">
        <f t="shared" si="133"/>
        <v>-</v>
      </c>
      <c r="BF238" s="86" t="str">
        <f t="shared" si="134"/>
        <v>-</v>
      </c>
    </row>
    <row r="239" spans="1:58" x14ac:dyDescent="0.2">
      <c r="A239" s="19" t="s">
        <v>1144</v>
      </c>
      <c r="B239" s="19" t="s">
        <v>678</v>
      </c>
      <c r="C239" s="19">
        <v>16614791</v>
      </c>
      <c r="D239" s="81">
        <v>3</v>
      </c>
      <c r="E239" s="19" t="s">
        <v>1180</v>
      </c>
      <c r="F239" s="19" t="s">
        <v>1549</v>
      </c>
      <c r="G239" s="19" t="s">
        <v>1550</v>
      </c>
      <c r="H239" s="19" t="s">
        <v>1033</v>
      </c>
      <c r="I239" s="19" t="s">
        <v>663</v>
      </c>
      <c r="J239" s="19">
        <v>80</v>
      </c>
      <c r="K239" s="19" t="s">
        <v>567</v>
      </c>
      <c r="L239" s="19" t="s">
        <v>516</v>
      </c>
      <c r="M239" s="19" t="s">
        <v>16</v>
      </c>
      <c r="N239" s="19">
        <v>45719</v>
      </c>
      <c r="O239" s="19">
        <v>2</v>
      </c>
      <c r="P239" s="81">
        <v>1</v>
      </c>
      <c r="Q239" s="19" t="s">
        <v>23</v>
      </c>
      <c r="R239" s="19" t="s">
        <v>11</v>
      </c>
      <c r="S239" s="19" t="s">
        <v>23</v>
      </c>
      <c r="T239" s="19">
        <v>2</v>
      </c>
      <c r="U239" s="19" t="s">
        <v>11</v>
      </c>
      <c r="V239" s="19" t="s">
        <v>19</v>
      </c>
      <c r="W239" s="19" t="s">
        <v>19</v>
      </c>
      <c r="X239" s="19">
        <v>20285</v>
      </c>
      <c r="Y239" s="19" t="s">
        <v>735</v>
      </c>
      <c r="Z239" s="19">
        <v>2</v>
      </c>
      <c r="AA239" s="19">
        <v>20285</v>
      </c>
      <c r="AB239" s="19">
        <v>20285</v>
      </c>
      <c r="AC239" s="178" t="str">
        <f>IF(OR(M239="13",M239="14",P239=8),"",IF(AND(OR(S239="AUTORIZADO", S239="PENDIENTE", S239="REDUCIDO", S239="AMPLIADO"),L239&lt;&gt;"HONORARIO" ), CONCATENATE(IF(H239="X","H",H239),"_",IF(OR(P239=5,P239=6),_xlfn.CONCAT(P239,"A"),P239),"_",VLOOKUP(T239,Datos!$B$2:$C$5,2,TRUE)),""))</f>
        <v>M_1_[hasta 3]</v>
      </c>
      <c r="AD239" s="178">
        <f t="shared" si="108"/>
        <v>40570</v>
      </c>
      <c r="AE239" s="82" t="str">
        <f t="shared" si="109"/>
        <v>-</v>
      </c>
      <c r="AF239" s="83" t="str">
        <f t="shared" si="110"/>
        <v>Revisar</v>
      </c>
      <c r="AG239" s="84"/>
      <c r="AH239" s="85" t="str">
        <f t="shared" si="111"/>
        <v>Corporación de Fomento de la Producción</v>
      </c>
      <c r="AI239" s="82" t="str">
        <f t="shared" si="112"/>
        <v>-</v>
      </c>
      <c r="AJ239" s="82">
        <f t="shared" si="113"/>
        <v>3</v>
      </c>
      <c r="AK239" s="82" t="str">
        <f t="shared" si="114"/>
        <v>-</v>
      </c>
      <c r="AL239" s="82" t="str">
        <f t="shared" si="115"/>
        <v>Identifica este registro como MUJER</v>
      </c>
      <c r="AM239" s="82" t="str">
        <f t="shared" si="116"/>
        <v>-</v>
      </c>
      <c r="AN239" s="82" t="str">
        <f t="shared" si="117"/>
        <v>-</v>
      </c>
      <c r="AO239" s="82" t="str">
        <f t="shared" si="118"/>
        <v>-</v>
      </c>
      <c r="AP239" s="57" t="str">
        <f t="shared" si="119"/>
        <v>-</v>
      </c>
      <c r="AQ239" s="86" t="str">
        <f t="shared" si="120"/>
        <v>-</v>
      </c>
      <c r="AR239" s="86" t="str">
        <f>IF(N239="","PRIMER_DIA en blanco",
IF(AND(M239="01",N239&gt;=L_Conversion!$C$118,N239&lt;=L_Conversion!$D$118),"-",
IF(AND(M239="02",N239&gt;=L_Conversion!$C$119,N239&lt;=L_Conversion!$D$119),"-",
IF(AND(M239="03",N239&gt;=L_Conversion!$C$120,N239&lt;=L_Conversion!$D$120),"-",
IF(AND(M239="04",N239&gt;=L_Conversion!$C$121,N239&lt;=L_Conversion!$D$121),"-",
IF(AND(M239="05",N239&gt;=L_Conversion!$C$122,N239&lt;=L_Conversion!$D$122),"-",
IF(AND(M239="06",N239&gt;=L_Conversion!$C$123,N239&lt;=L_Conversion!$D$123),"-",
IF(AND(M239="07",N239&gt;=L_Conversion!$C$124,N239&lt;=L_Conversion!$D$124),"-",
IF(AND(M239="08",N239&gt;=L_Conversion!$C$125,N239&lt;=L_Conversion!$D$125),"-",
IF(AND(M239="09",N239&gt;=L_Conversion!$C$126,N239&lt;=L_Conversion!$D$126),"-",
IF(AND(M239="10",N239&gt;=L_Conversion!$C$127,N239&lt;=L_Conversion!$D$127),"-",
IF(AND(M239="11",N239&gt;=L_Conversion!$C$128,N239&lt;=L_Conversion!$D$128),"-",
IF(AND(M239="12",N239&gt;=L_Conversion!$C$129,N239&lt;=L_Conversion!$D$129),"-",
IF(AND(M239="13",N239&gt;=L_Conversion!$C$116,N239&lt;=L_Conversion!$D$116),"-",
IF(AND(M239="14",N239&gt;=L_Conversion!$C$117,N239&lt;=L_Conversion!$D$117),"-",
"PRIMER_DIA fuera de rango")))))))))))))))</f>
        <v>-</v>
      </c>
      <c r="AS239" s="86" t="str">
        <f t="shared" si="121"/>
        <v>-</v>
      </c>
      <c r="AT239" s="86" t="str">
        <f t="shared" si="122"/>
        <v>-</v>
      </c>
      <c r="AU239" s="86" t="str">
        <f t="shared" si="123"/>
        <v>-</v>
      </c>
      <c r="AV239" s="86" t="str">
        <f t="shared" si="124"/>
        <v>-</v>
      </c>
      <c r="AW239" s="86" t="str">
        <f t="shared" si="125"/>
        <v>-</v>
      </c>
      <c r="AX239" s="86" t="str">
        <f t="shared" si="126"/>
        <v>-</v>
      </c>
      <c r="AY239" s="86" t="str">
        <f t="shared" si="127"/>
        <v>-</v>
      </c>
      <c r="AZ239" s="86" t="str">
        <f t="shared" si="128"/>
        <v>-</v>
      </c>
      <c r="BA239" s="86" t="str">
        <f t="shared" si="129"/>
        <v>-</v>
      </c>
      <c r="BB239" s="86" t="str">
        <f t="shared" si="130"/>
        <v>-</v>
      </c>
      <c r="BC239" s="86" t="str">
        <f t="shared" si="131"/>
        <v>-</v>
      </c>
      <c r="BD239" s="86" t="str">
        <f t="shared" si="132"/>
        <v>-</v>
      </c>
      <c r="BE239" s="86" t="str">
        <f t="shared" si="133"/>
        <v>-</v>
      </c>
      <c r="BF239" s="86" t="str">
        <f t="shared" si="134"/>
        <v>-</v>
      </c>
    </row>
    <row r="240" spans="1:58" x14ac:dyDescent="0.2">
      <c r="A240" s="19" t="s">
        <v>1144</v>
      </c>
      <c r="B240" s="19" t="s">
        <v>887</v>
      </c>
      <c r="C240" s="19">
        <v>15183906</v>
      </c>
      <c r="D240" s="81">
        <v>1</v>
      </c>
      <c r="E240" s="19" t="s">
        <v>1526</v>
      </c>
      <c r="F240" s="19" t="s">
        <v>1516</v>
      </c>
      <c r="G240" s="19" t="s">
        <v>1551</v>
      </c>
      <c r="H240" s="19" t="s">
        <v>1033</v>
      </c>
      <c r="I240" s="19" t="s">
        <v>662</v>
      </c>
      <c r="J240" s="19">
        <v>80</v>
      </c>
      <c r="K240" s="19" t="s">
        <v>563</v>
      </c>
      <c r="L240" s="19" t="s">
        <v>502</v>
      </c>
      <c r="M240" s="19" t="s">
        <v>16</v>
      </c>
      <c r="N240" s="19">
        <v>45719</v>
      </c>
      <c r="O240" s="19">
        <v>12</v>
      </c>
      <c r="P240" s="81">
        <v>1</v>
      </c>
      <c r="Q240" s="19" t="s">
        <v>23</v>
      </c>
      <c r="R240" s="19" t="s">
        <v>11</v>
      </c>
      <c r="S240" s="19" t="s">
        <v>23</v>
      </c>
      <c r="T240" s="19">
        <v>12</v>
      </c>
      <c r="U240" s="19" t="s">
        <v>11</v>
      </c>
      <c r="V240" s="19" t="s">
        <v>11</v>
      </c>
      <c r="W240" s="19" t="s">
        <v>19</v>
      </c>
      <c r="X240" s="19">
        <v>1048837</v>
      </c>
      <c r="Y240" s="19" t="s">
        <v>735</v>
      </c>
      <c r="Z240" s="19">
        <v>12</v>
      </c>
      <c r="AA240" s="19">
        <v>1048837</v>
      </c>
      <c r="AB240" s="19">
        <v>1048837</v>
      </c>
      <c r="AC240" s="178" t="str">
        <f>IF(OR(M240="13",M240="14",P240=8),"",IF(AND(OR(S240="AUTORIZADO", S240="PENDIENTE", S240="REDUCIDO", S240="AMPLIADO"),L240&lt;&gt;"HONORARIO" ), CONCATENATE(IF(H240="X","H",H240),"_",IF(OR(P240=5,P240=6),_xlfn.CONCAT(P240,"A"),P240),"_",VLOOKUP(T240,Datos!$B$2:$C$5,2,TRUE)),""))</f>
        <v>M_1_[11 +]</v>
      </c>
      <c r="AD240" s="178">
        <f t="shared" si="108"/>
        <v>2097674</v>
      </c>
      <c r="AE240" s="82" t="str">
        <f t="shared" si="109"/>
        <v>-</v>
      </c>
      <c r="AF240" s="83" t="str">
        <f t="shared" si="110"/>
        <v>070607</v>
      </c>
      <c r="AG240" s="84"/>
      <c r="AH240" s="85" t="str">
        <f t="shared" si="111"/>
        <v>Corporación de Fomento de la Producción</v>
      </c>
      <c r="AI240" s="82" t="str">
        <f t="shared" si="112"/>
        <v>-</v>
      </c>
      <c r="AJ240" s="82">
        <f t="shared" si="113"/>
        <v>1</v>
      </c>
      <c r="AK240" s="82" t="str">
        <f t="shared" si="114"/>
        <v>-</v>
      </c>
      <c r="AL240" s="82" t="str">
        <f t="shared" si="115"/>
        <v>Identifica este registro como MUJER</v>
      </c>
      <c r="AM240" s="82" t="str">
        <f t="shared" si="116"/>
        <v>-</v>
      </c>
      <c r="AN240" s="82" t="str">
        <f t="shared" si="117"/>
        <v>-</v>
      </c>
      <c r="AO240" s="82" t="str">
        <f t="shared" si="118"/>
        <v>-</v>
      </c>
      <c r="AP240" s="57" t="str">
        <f t="shared" si="119"/>
        <v>-</v>
      </c>
      <c r="AQ240" s="86" t="str">
        <f t="shared" si="120"/>
        <v>-</v>
      </c>
      <c r="AR240" s="86" t="str">
        <f>IF(N240="","PRIMER_DIA en blanco",
IF(AND(M240="01",N240&gt;=L_Conversion!$C$118,N240&lt;=L_Conversion!$D$118),"-",
IF(AND(M240="02",N240&gt;=L_Conversion!$C$119,N240&lt;=L_Conversion!$D$119),"-",
IF(AND(M240="03",N240&gt;=L_Conversion!$C$120,N240&lt;=L_Conversion!$D$120),"-",
IF(AND(M240="04",N240&gt;=L_Conversion!$C$121,N240&lt;=L_Conversion!$D$121),"-",
IF(AND(M240="05",N240&gt;=L_Conversion!$C$122,N240&lt;=L_Conversion!$D$122),"-",
IF(AND(M240="06",N240&gt;=L_Conversion!$C$123,N240&lt;=L_Conversion!$D$123),"-",
IF(AND(M240="07",N240&gt;=L_Conversion!$C$124,N240&lt;=L_Conversion!$D$124),"-",
IF(AND(M240="08",N240&gt;=L_Conversion!$C$125,N240&lt;=L_Conversion!$D$125),"-",
IF(AND(M240="09",N240&gt;=L_Conversion!$C$126,N240&lt;=L_Conversion!$D$126),"-",
IF(AND(M240="10",N240&gt;=L_Conversion!$C$127,N240&lt;=L_Conversion!$D$127),"-",
IF(AND(M240="11",N240&gt;=L_Conversion!$C$128,N240&lt;=L_Conversion!$D$128),"-",
IF(AND(M240="12",N240&gt;=L_Conversion!$C$129,N240&lt;=L_Conversion!$D$129),"-",
IF(AND(M240="13",N240&gt;=L_Conversion!$C$116,N240&lt;=L_Conversion!$D$116),"-",
IF(AND(M240="14",N240&gt;=L_Conversion!$C$117,N240&lt;=L_Conversion!$D$117),"-",
"PRIMER_DIA fuera de rango")))))))))))))))</f>
        <v>-</v>
      </c>
      <c r="AS240" s="86" t="str">
        <f t="shared" si="121"/>
        <v>-</v>
      </c>
      <c r="AT240" s="86" t="str">
        <f t="shared" si="122"/>
        <v>-</v>
      </c>
      <c r="AU240" s="86" t="str">
        <f t="shared" si="123"/>
        <v>-</v>
      </c>
      <c r="AV240" s="86" t="str">
        <f t="shared" si="124"/>
        <v>-</v>
      </c>
      <c r="AW240" s="86" t="str">
        <f t="shared" si="125"/>
        <v>-</v>
      </c>
      <c r="AX240" s="86" t="str">
        <f t="shared" si="126"/>
        <v>-</v>
      </c>
      <c r="AY240" s="86" t="str">
        <f t="shared" si="127"/>
        <v>-</v>
      </c>
      <c r="AZ240" s="86" t="str">
        <f t="shared" si="128"/>
        <v>-</v>
      </c>
      <c r="BA240" s="86" t="str">
        <f t="shared" si="129"/>
        <v>-</v>
      </c>
      <c r="BB240" s="86" t="str">
        <f t="shared" si="130"/>
        <v>-</v>
      </c>
      <c r="BC240" s="86" t="str">
        <f t="shared" si="131"/>
        <v>-</v>
      </c>
      <c r="BD240" s="86" t="str">
        <f t="shared" si="132"/>
        <v>-</v>
      </c>
      <c r="BE240" s="86" t="str">
        <f t="shared" si="133"/>
        <v>-</v>
      </c>
      <c r="BF240" s="86" t="str">
        <f t="shared" si="134"/>
        <v>-</v>
      </c>
    </row>
    <row r="241" spans="1:58" x14ac:dyDescent="0.2">
      <c r="A241" s="19" t="s">
        <v>1144</v>
      </c>
      <c r="B241" s="19" t="s">
        <v>76</v>
      </c>
      <c r="C241" s="19">
        <v>15438971</v>
      </c>
      <c r="D241" s="81">
        <v>7</v>
      </c>
      <c r="E241" s="19" t="s">
        <v>1229</v>
      </c>
      <c r="F241" s="19" t="s">
        <v>1552</v>
      </c>
      <c r="G241" s="19" t="s">
        <v>1553</v>
      </c>
      <c r="H241" s="19" t="s">
        <v>1033</v>
      </c>
      <c r="I241" s="19" t="s">
        <v>662</v>
      </c>
      <c r="J241" s="19">
        <v>80</v>
      </c>
      <c r="K241" s="19" t="s">
        <v>563</v>
      </c>
      <c r="L241" s="19" t="s">
        <v>502</v>
      </c>
      <c r="M241" s="19" t="s">
        <v>16</v>
      </c>
      <c r="N241" s="19">
        <v>45719</v>
      </c>
      <c r="O241" s="19">
        <v>14</v>
      </c>
      <c r="P241" s="81">
        <v>1</v>
      </c>
      <c r="Q241" s="19" t="s">
        <v>23</v>
      </c>
      <c r="R241" s="19" t="s">
        <v>11</v>
      </c>
      <c r="S241" s="19" t="s">
        <v>23</v>
      </c>
      <c r="T241" s="19">
        <v>14</v>
      </c>
      <c r="U241" s="19" t="s">
        <v>11</v>
      </c>
      <c r="V241" s="19" t="s">
        <v>11</v>
      </c>
      <c r="W241" s="19" t="s">
        <v>19</v>
      </c>
      <c r="X241" s="19">
        <v>1302966</v>
      </c>
      <c r="Y241" s="19" t="s">
        <v>735</v>
      </c>
      <c r="Z241" s="19">
        <v>14</v>
      </c>
      <c r="AA241" s="19">
        <v>1302966</v>
      </c>
      <c r="AB241" s="19">
        <v>1302966</v>
      </c>
      <c r="AC241" s="178" t="str">
        <f>IF(OR(M241="13",M241="14",P241=8),"",IF(AND(OR(S241="AUTORIZADO", S241="PENDIENTE", S241="REDUCIDO", S241="AMPLIADO"),L241&lt;&gt;"HONORARIO" ), CONCATENATE(IF(H241="X","H",H241),"_",IF(OR(P241=5,P241=6),_xlfn.CONCAT(P241,"A"),P241),"_",VLOOKUP(T241,Datos!$B$2:$C$5,2,TRUE)),""))</f>
        <v>M_1_[11 +]</v>
      </c>
      <c r="AD241" s="178">
        <f t="shared" si="108"/>
        <v>2605932</v>
      </c>
      <c r="AE241" s="82" t="str">
        <f t="shared" si="109"/>
        <v>-</v>
      </c>
      <c r="AF241" s="83" t="str">
        <f t="shared" si="110"/>
        <v>070601</v>
      </c>
      <c r="AG241" s="84"/>
      <c r="AH241" s="85" t="str">
        <f t="shared" si="111"/>
        <v>Corporación de Fomento de la Producción</v>
      </c>
      <c r="AI241" s="82" t="str">
        <f t="shared" si="112"/>
        <v>-</v>
      </c>
      <c r="AJ241" s="82">
        <f t="shared" si="113"/>
        <v>7</v>
      </c>
      <c r="AK241" s="82" t="str">
        <f t="shared" si="114"/>
        <v>-</v>
      </c>
      <c r="AL241" s="82" t="str">
        <f t="shared" si="115"/>
        <v>Identifica este registro como MUJER</v>
      </c>
      <c r="AM241" s="82" t="str">
        <f t="shared" si="116"/>
        <v>-</v>
      </c>
      <c r="AN241" s="82" t="str">
        <f t="shared" si="117"/>
        <v>-</v>
      </c>
      <c r="AO241" s="82" t="str">
        <f t="shared" si="118"/>
        <v>-</v>
      </c>
      <c r="AP241" s="57" t="str">
        <f t="shared" si="119"/>
        <v>-</v>
      </c>
      <c r="AQ241" s="86" t="str">
        <f t="shared" si="120"/>
        <v>-</v>
      </c>
      <c r="AR241" s="86" t="str">
        <f>IF(N241="","PRIMER_DIA en blanco",
IF(AND(M241="01",N241&gt;=L_Conversion!$C$118,N241&lt;=L_Conversion!$D$118),"-",
IF(AND(M241="02",N241&gt;=L_Conversion!$C$119,N241&lt;=L_Conversion!$D$119),"-",
IF(AND(M241="03",N241&gt;=L_Conversion!$C$120,N241&lt;=L_Conversion!$D$120),"-",
IF(AND(M241="04",N241&gt;=L_Conversion!$C$121,N241&lt;=L_Conversion!$D$121),"-",
IF(AND(M241="05",N241&gt;=L_Conversion!$C$122,N241&lt;=L_Conversion!$D$122),"-",
IF(AND(M241="06",N241&gt;=L_Conversion!$C$123,N241&lt;=L_Conversion!$D$123),"-",
IF(AND(M241="07",N241&gt;=L_Conversion!$C$124,N241&lt;=L_Conversion!$D$124),"-",
IF(AND(M241="08",N241&gt;=L_Conversion!$C$125,N241&lt;=L_Conversion!$D$125),"-",
IF(AND(M241="09",N241&gt;=L_Conversion!$C$126,N241&lt;=L_Conversion!$D$126),"-",
IF(AND(M241="10",N241&gt;=L_Conversion!$C$127,N241&lt;=L_Conversion!$D$127),"-",
IF(AND(M241="11",N241&gt;=L_Conversion!$C$128,N241&lt;=L_Conversion!$D$128),"-",
IF(AND(M241="12",N241&gt;=L_Conversion!$C$129,N241&lt;=L_Conversion!$D$129),"-",
IF(AND(M241="13",N241&gt;=L_Conversion!$C$116,N241&lt;=L_Conversion!$D$116),"-",
IF(AND(M241="14",N241&gt;=L_Conversion!$C$117,N241&lt;=L_Conversion!$D$117),"-",
"PRIMER_DIA fuera de rango")))))))))))))))</f>
        <v>-</v>
      </c>
      <c r="AS241" s="86" t="str">
        <f t="shared" si="121"/>
        <v>-</v>
      </c>
      <c r="AT241" s="86" t="str">
        <f t="shared" si="122"/>
        <v>-</v>
      </c>
      <c r="AU241" s="86" t="str">
        <f t="shared" si="123"/>
        <v>-</v>
      </c>
      <c r="AV241" s="86" t="str">
        <f t="shared" si="124"/>
        <v>-</v>
      </c>
      <c r="AW241" s="86" t="str">
        <f t="shared" si="125"/>
        <v>-</v>
      </c>
      <c r="AX241" s="86" t="str">
        <f t="shared" si="126"/>
        <v>-</v>
      </c>
      <c r="AY241" s="86" t="str">
        <f t="shared" si="127"/>
        <v>-</v>
      </c>
      <c r="AZ241" s="86" t="str">
        <f t="shared" si="128"/>
        <v>-</v>
      </c>
      <c r="BA241" s="86" t="str">
        <f t="shared" si="129"/>
        <v>-</v>
      </c>
      <c r="BB241" s="86" t="str">
        <f t="shared" si="130"/>
        <v>-</v>
      </c>
      <c r="BC241" s="86" t="str">
        <f t="shared" si="131"/>
        <v>-</v>
      </c>
      <c r="BD241" s="86" t="str">
        <f t="shared" si="132"/>
        <v>-</v>
      </c>
      <c r="BE241" s="86" t="str">
        <f t="shared" si="133"/>
        <v>-</v>
      </c>
      <c r="BF241" s="86" t="str">
        <f t="shared" si="134"/>
        <v>-</v>
      </c>
    </row>
    <row r="242" spans="1:58" x14ac:dyDescent="0.2">
      <c r="A242" s="19" t="s">
        <v>1144</v>
      </c>
      <c r="B242" s="19" t="s">
        <v>76</v>
      </c>
      <c r="C242" s="19">
        <v>15634479</v>
      </c>
      <c r="D242" s="81">
        <v>6</v>
      </c>
      <c r="E242" s="19" t="s">
        <v>1502</v>
      </c>
      <c r="F242" s="19" t="s">
        <v>1180</v>
      </c>
      <c r="G242" s="19" t="s">
        <v>1554</v>
      </c>
      <c r="H242" s="19" t="s">
        <v>663</v>
      </c>
      <c r="I242" s="19" t="s">
        <v>662</v>
      </c>
      <c r="J242" s="19">
        <v>80</v>
      </c>
      <c r="K242" s="19" t="s">
        <v>563</v>
      </c>
      <c r="L242" s="19" t="s">
        <v>502</v>
      </c>
      <c r="M242" s="19" t="s">
        <v>16</v>
      </c>
      <c r="N242" s="19">
        <v>45720</v>
      </c>
      <c r="O242" s="19">
        <v>2</v>
      </c>
      <c r="P242" s="81">
        <v>3</v>
      </c>
      <c r="Q242" s="19" t="s">
        <v>23</v>
      </c>
      <c r="R242" s="19" t="s">
        <v>11</v>
      </c>
      <c r="S242" s="19" t="s">
        <v>23</v>
      </c>
      <c r="T242" s="19">
        <v>2</v>
      </c>
      <c r="U242" s="19" t="s">
        <v>11</v>
      </c>
      <c r="V242" s="19" t="s">
        <v>19</v>
      </c>
      <c r="W242" s="19" t="s">
        <v>19</v>
      </c>
      <c r="X242" s="19">
        <v>31948</v>
      </c>
      <c r="Y242" s="19" t="s">
        <v>735</v>
      </c>
      <c r="Z242" s="19">
        <v>2</v>
      </c>
      <c r="AA242" s="19">
        <v>31948</v>
      </c>
      <c r="AB242" s="19">
        <v>31948</v>
      </c>
      <c r="AC242" s="178" t="str">
        <f>IF(OR(M242="13",M242="14",P242=8),"",IF(AND(OR(S242="AUTORIZADO", S242="PENDIENTE", S242="REDUCIDO", S242="AMPLIADO"),L242&lt;&gt;"HONORARIO" ), CONCATENATE(IF(H242="X","H",H242),"_",IF(OR(P242=5,P242=6),_xlfn.CONCAT(P242,"A"),P242),"_",VLOOKUP(T242,Datos!$B$2:$C$5,2,TRUE)),""))</f>
        <v>H_3_[hasta 3]</v>
      </c>
      <c r="AD242" s="178">
        <f t="shared" si="108"/>
        <v>63896</v>
      </c>
      <c r="AE242" s="82" t="str">
        <f t="shared" si="109"/>
        <v>-</v>
      </c>
      <c r="AF242" s="83" t="str">
        <f t="shared" si="110"/>
        <v>070601</v>
      </c>
      <c r="AG242" s="84"/>
      <c r="AH242" s="85" t="str">
        <f t="shared" si="111"/>
        <v>Corporación de Fomento de la Producción</v>
      </c>
      <c r="AI242" s="82" t="str">
        <f t="shared" si="112"/>
        <v>-</v>
      </c>
      <c r="AJ242" s="82">
        <f t="shared" si="113"/>
        <v>6</v>
      </c>
      <c r="AK242" s="82" t="str">
        <f t="shared" si="114"/>
        <v>-</v>
      </c>
      <c r="AL242" s="82" t="str">
        <f t="shared" si="115"/>
        <v>Identifica este registro como HOMBRE</v>
      </c>
      <c r="AM242" s="82" t="str">
        <f t="shared" si="116"/>
        <v>-</v>
      </c>
      <c r="AN242" s="82" t="str">
        <f t="shared" si="117"/>
        <v>-</v>
      </c>
      <c r="AO242" s="82" t="str">
        <f t="shared" si="118"/>
        <v>-</v>
      </c>
      <c r="AP242" s="57" t="str">
        <f t="shared" si="119"/>
        <v>-</v>
      </c>
      <c r="AQ242" s="86" t="str">
        <f t="shared" si="120"/>
        <v>-</v>
      </c>
      <c r="AR242" s="86" t="str">
        <f>IF(N242="","PRIMER_DIA en blanco",
IF(AND(M242="01",N242&gt;=L_Conversion!$C$118,N242&lt;=L_Conversion!$D$118),"-",
IF(AND(M242="02",N242&gt;=L_Conversion!$C$119,N242&lt;=L_Conversion!$D$119),"-",
IF(AND(M242="03",N242&gt;=L_Conversion!$C$120,N242&lt;=L_Conversion!$D$120),"-",
IF(AND(M242="04",N242&gt;=L_Conversion!$C$121,N242&lt;=L_Conversion!$D$121),"-",
IF(AND(M242="05",N242&gt;=L_Conversion!$C$122,N242&lt;=L_Conversion!$D$122),"-",
IF(AND(M242="06",N242&gt;=L_Conversion!$C$123,N242&lt;=L_Conversion!$D$123),"-",
IF(AND(M242="07",N242&gt;=L_Conversion!$C$124,N242&lt;=L_Conversion!$D$124),"-",
IF(AND(M242="08",N242&gt;=L_Conversion!$C$125,N242&lt;=L_Conversion!$D$125),"-",
IF(AND(M242="09",N242&gt;=L_Conversion!$C$126,N242&lt;=L_Conversion!$D$126),"-",
IF(AND(M242="10",N242&gt;=L_Conversion!$C$127,N242&lt;=L_Conversion!$D$127),"-",
IF(AND(M242="11",N242&gt;=L_Conversion!$C$128,N242&lt;=L_Conversion!$D$128),"-",
IF(AND(M242="12",N242&gt;=L_Conversion!$C$129,N242&lt;=L_Conversion!$D$129),"-",
IF(AND(M242="13",N242&gt;=L_Conversion!$C$116,N242&lt;=L_Conversion!$D$116),"-",
IF(AND(M242="14",N242&gt;=L_Conversion!$C$117,N242&lt;=L_Conversion!$D$117),"-",
"PRIMER_DIA fuera de rango")))))))))))))))</f>
        <v>-</v>
      </c>
      <c r="AS242" s="86" t="str">
        <f t="shared" si="121"/>
        <v>-</v>
      </c>
      <c r="AT242" s="86" t="str">
        <f t="shared" si="122"/>
        <v>-</v>
      </c>
      <c r="AU242" s="86" t="str">
        <f t="shared" si="123"/>
        <v>-</v>
      </c>
      <c r="AV242" s="86" t="str">
        <f t="shared" si="124"/>
        <v>-</v>
      </c>
      <c r="AW242" s="86" t="str">
        <f t="shared" si="125"/>
        <v>-</v>
      </c>
      <c r="AX242" s="86" t="str">
        <f t="shared" si="126"/>
        <v>-</v>
      </c>
      <c r="AY242" s="86" t="str">
        <f t="shared" si="127"/>
        <v>-</v>
      </c>
      <c r="AZ242" s="86" t="str">
        <f t="shared" si="128"/>
        <v>-</v>
      </c>
      <c r="BA242" s="86" t="str">
        <f t="shared" si="129"/>
        <v>-</v>
      </c>
      <c r="BB242" s="86" t="str">
        <f t="shared" si="130"/>
        <v>-</v>
      </c>
      <c r="BC242" s="86" t="str">
        <f t="shared" si="131"/>
        <v>-</v>
      </c>
      <c r="BD242" s="86" t="str">
        <f t="shared" si="132"/>
        <v>-</v>
      </c>
      <c r="BE242" s="86" t="str">
        <f t="shared" si="133"/>
        <v>-</v>
      </c>
      <c r="BF242" s="86" t="str">
        <f t="shared" si="134"/>
        <v>-</v>
      </c>
    </row>
    <row r="243" spans="1:58" x14ac:dyDescent="0.2">
      <c r="A243" s="19" t="s">
        <v>1144</v>
      </c>
      <c r="B243" s="19" t="s">
        <v>76</v>
      </c>
      <c r="C243" s="19">
        <v>16207956</v>
      </c>
      <c r="D243" s="81">
        <v>5</v>
      </c>
      <c r="E243" s="19" t="s">
        <v>1555</v>
      </c>
      <c r="F243" s="19" t="s">
        <v>1556</v>
      </c>
      <c r="G243" s="19" t="s">
        <v>1557</v>
      </c>
      <c r="H243" s="19" t="s">
        <v>663</v>
      </c>
      <c r="I243" s="19" t="s">
        <v>662</v>
      </c>
      <c r="J243" s="19">
        <v>80</v>
      </c>
      <c r="K243" s="19" t="s">
        <v>563</v>
      </c>
      <c r="L243" s="19" t="s">
        <v>502</v>
      </c>
      <c r="M243" s="19" t="s">
        <v>16</v>
      </c>
      <c r="N243" s="19">
        <v>45720</v>
      </c>
      <c r="O243" s="19">
        <v>30</v>
      </c>
      <c r="P243" s="81">
        <v>1</v>
      </c>
      <c r="Q243" s="19" t="s">
        <v>23</v>
      </c>
      <c r="R243" s="19" t="s">
        <v>11</v>
      </c>
      <c r="S243" s="19" t="s">
        <v>23</v>
      </c>
      <c r="T243" s="19">
        <v>30</v>
      </c>
      <c r="U243" s="19" t="s">
        <v>11</v>
      </c>
      <c r="V243" s="19" t="s">
        <v>11</v>
      </c>
      <c r="W243" s="19" t="s">
        <v>19</v>
      </c>
      <c r="X243" s="19">
        <v>2453077</v>
      </c>
      <c r="Y243" s="19" t="s">
        <v>735</v>
      </c>
      <c r="Z243" s="19">
        <v>30</v>
      </c>
      <c r="AA243" s="19">
        <v>2453077</v>
      </c>
      <c r="AB243" s="19">
        <v>2453077</v>
      </c>
      <c r="AC243" s="178" t="str">
        <f>IF(OR(M243="13",M243="14",P243=8),"",IF(AND(OR(S243="AUTORIZADO", S243="PENDIENTE", S243="REDUCIDO", S243="AMPLIADO"),L243&lt;&gt;"HONORARIO" ), CONCATENATE(IF(H243="X","H",H243),"_",IF(OR(P243=5,P243=6),_xlfn.CONCAT(P243,"A"),P243),"_",VLOOKUP(T243,Datos!$B$2:$C$5,2,TRUE)),""))</f>
        <v>H_1_[11 +]</v>
      </c>
      <c r="AD243" s="178">
        <f t="shared" si="108"/>
        <v>4906154</v>
      </c>
      <c r="AE243" s="82" t="str">
        <f t="shared" si="109"/>
        <v>-</v>
      </c>
      <c r="AF243" s="83" t="str">
        <f t="shared" si="110"/>
        <v>070601</v>
      </c>
      <c r="AG243" s="84"/>
      <c r="AH243" s="85" t="str">
        <f t="shared" si="111"/>
        <v>Corporación de Fomento de la Producción</v>
      </c>
      <c r="AI243" s="82" t="str">
        <f t="shared" si="112"/>
        <v>-</v>
      </c>
      <c r="AJ243" s="82">
        <f t="shared" si="113"/>
        <v>5</v>
      </c>
      <c r="AK243" s="82" t="str">
        <f t="shared" si="114"/>
        <v>-</v>
      </c>
      <c r="AL243" s="82" t="str">
        <f t="shared" si="115"/>
        <v>Identifica este registro como HOMBRE</v>
      </c>
      <c r="AM243" s="82" t="str">
        <f t="shared" si="116"/>
        <v>-</v>
      </c>
      <c r="AN243" s="82" t="str">
        <f t="shared" si="117"/>
        <v>-</v>
      </c>
      <c r="AO243" s="82" t="str">
        <f t="shared" si="118"/>
        <v>-</v>
      </c>
      <c r="AP243" s="57" t="str">
        <f t="shared" si="119"/>
        <v>-</v>
      </c>
      <c r="AQ243" s="86" t="str">
        <f t="shared" si="120"/>
        <v>-</v>
      </c>
      <c r="AR243" s="86" t="str">
        <f>IF(N243="","PRIMER_DIA en blanco",
IF(AND(M243="01",N243&gt;=L_Conversion!$C$118,N243&lt;=L_Conversion!$D$118),"-",
IF(AND(M243="02",N243&gt;=L_Conversion!$C$119,N243&lt;=L_Conversion!$D$119),"-",
IF(AND(M243="03",N243&gt;=L_Conversion!$C$120,N243&lt;=L_Conversion!$D$120),"-",
IF(AND(M243="04",N243&gt;=L_Conversion!$C$121,N243&lt;=L_Conversion!$D$121),"-",
IF(AND(M243="05",N243&gt;=L_Conversion!$C$122,N243&lt;=L_Conversion!$D$122),"-",
IF(AND(M243="06",N243&gt;=L_Conversion!$C$123,N243&lt;=L_Conversion!$D$123),"-",
IF(AND(M243="07",N243&gt;=L_Conversion!$C$124,N243&lt;=L_Conversion!$D$124),"-",
IF(AND(M243="08",N243&gt;=L_Conversion!$C$125,N243&lt;=L_Conversion!$D$125),"-",
IF(AND(M243="09",N243&gt;=L_Conversion!$C$126,N243&lt;=L_Conversion!$D$126),"-",
IF(AND(M243="10",N243&gt;=L_Conversion!$C$127,N243&lt;=L_Conversion!$D$127),"-",
IF(AND(M243="11",N243&gt;=L_Conversion!$C$128,N243&lt;=L_Conversion!$D$128),"-",
IF(AND(M243="12",N243&gt;=L_Conversion!$C$129,N243&lt;=L_Conversion!$D$129),"-",
IF(AND(M243="13",N243&gt;=L_Conversion!$C$116,N243&lt;=L_Conversion!$D$116),"-",
IF(AND(M243="14",N243&gt;=L_Conversion!$C$117,N243&lt;=L_Conversion!$D$117),"-",
"PRIMER_DIA fuera de rango")))))))))))))))</f>
        <v>-</v>
      </c>
      <c r="AS243" s="86" t="str">
        <f t="shared" si="121"/>
        <v>-</v>
      </c>
      <c r="AT243" s="86" t="str">
        <f t="shared" si="122"/>
        <v>-</v>
      </c>
      <c r="AU243" s="86" t="str">
        <f t="shared" si="123"/>
        <v>-</v>
      </c>
      <c r="AV243" s="86" t="str">
        <f t="shared" si="124"/>
        <v>-</v>
      </c>
      <c r="AW243" s="86" t="str">
        <f t="shared" si="125"/>
        <v>-</v>
      </c>
      <c r="AX243" s="86" t="str">
        <f t="shared" si="126"/>
        <v>-</v>
      </c>
      <c r="AY243" s="86" t="str">
        <f t="shared" si="127"/>
        <v>-</v>
      </c>
      <c r="AZ243" s="86" t="str">
        <f t="shared" si="128"/>
        <v>-</v>
      </c>
      <c r="BA243" s="86" t="str">
        <f t="shared" si="129"/>
        <v>-</v>
      </c>
      <c r="BB243" s="86" t="str">
        <f t="shared" si="130"/>
        <v>-</v>
      </c>
      <c r="BC243" s="86" t="str">
        <f t="shared" si="131"/>
        <v>-</v>
      </c>
      <c r="BD243" s="86" t="str">
        <f t="shared" si="132"/>
        <v>-</v>
      </c>
      <c r="BE243" s="86" t="str">
        <f t="shared" si="133"/>
        <v>-</v>
      </c>
      <c r="BF243" s="86" t="str">
        <f t="shared" si="134"/>
        <v>-</v>
      </c>
    </row>
    <row r="244" spans="1:58" x14ac:dyDescent="0.2">
      <c r="A244" s="19" t="s">
        <v>1144</v>
      </c>
      <c r="B244" s="19" t="s">
        <v>76</v>
      </c>
      <c r="C244" s="19">
        <v>18693838</v>
      </c>
      <c r="D244" s="81">
        <v>0</v>
      </c>
      <c r="E244" s="19" t="s">
        <v>1182</v>
      </c>
      <c r="F244" s="19" t="s">
        <v>1381</v>
      </c>
      <c r="G244" s="19" t="s">
        <v>1382</v>
      </c>
      <c r="H244" s="19" t="s">
        <v>1033</v>
      </c>
      <c r="I244" s="19" t="s">
        <v>662</v>
      </c>
      <c r="J244" s="19">
        <v>80</v>
      </c>
      <c r="K244" s="19" t="s">
        <v>563</v>
      </c>
      <c r="L244" s="19" t="s">
        <v>502</v>
      </c>
      <c r="M244" s="19" t="s">
        <v>16</v>
      </c>
      <c r="N244" s="19">
        <v>45720</v>
      </c>
      <c r="O244" s="19">
        <v>1</v>
      </c>
      <c r="P244" s="81">
        <v>1</v>
      </c>
      <c r="Q244" s="19" t="s">
        <v>23</v>
      </c>
      <c r="R244" s="19" t="s">
        <v>11</v>
      </c>
      <c r="S244" s="19" t="s">
        <v>23</v>
      </c>
      <c r="T244" s="19">
        <v>1</v>
      </c>
      <c r="U244" s="19" t="s">
        <v>11</v>
      </c>
      <c r="V244" s="19" t="s">
        <v>19</v>
      </c>
      <c r="W244" s="19" t="s">
        <v>19</v>
      </c>
      <c r="X244" s="19">
        <v>14716</v>
      </c>
      <c r="Y244" s="19" t="s">
        <v>735</v>
      </c>
      <c r="Z244" s="19">
        <v>1</v>
      </c>
      <c r="AA244" s="19">
        <v>14716</v>
      </c>
      <c r="AB244" s="19">
        <v>14716</v>
      </c>
      <c r="AC244" s="178" t="str">
        <f>IF(OR(M244="13",M244="14",P244=8),"",IF(AND(OR(S244="AUTORIZADO", S244="PENDIENTE", S244="REDUCIDO", S244="AMPLIADO"),L244&lt;&gt;"HONORARIO" ), CONCATENATE(IF(H244="X","H",H244),"_",IF(OR(P244=5,P244=6),_xlfn.CONCAT(P244,"A"),P244),"_",VLOOKUP(T244,Datos!$B$2:$C$5,2,TRUE)),""))</f>
        <v>M_1_[hasta 3]</v>
      </c>
      <c r="AD244" s="178">
        <f t="shared" si="108"/>
        <v>29432</v>
      </c>
      <c r="AE244" s="82" t="str">
        <f t="shared" si="109"/>
        <v>-</v>
      </c>
      <c r="AF244" s="83" t="str">
        <f t="shared" si="110"/>
        <v>070601</v>
      </c>
      <c r="AG244" s="84"/>
      <c r="AH244" s="85" t="str">
        <f t="shared" si="111"/>
        <v>Corporación de Fomento de la Producción</v>
      </c>
      <c r="AI244" s="82" t="str">
        <f t="shared" si="112"/>
        <v>-</v>
      </c>
      <c r="AJ244" s="82">
        <f t="shared" si="113"/>
        <v>0</v>
      </c>
      <c r="AK244" s="82" t="str">
        <f t="shared" si="114"/>
        <v>-</v>
      </c>
      <c r="AL244" s="82" t="str">
        <f t="shared" si="115"/>
        <v>Identifica este registro como MUJER</v>
      </c>
      <c r="AM244" s="82" t="str">
        <f t="shared" si="116"/>
        <v>-</v>
      </c>
      <c r="AN244" s="82" t="str">
        <f t="shared" si="117"/>
        <v>-</v>
      </c>
      <c r="AO244" s="82" t="str">
        <f t="shared" si="118"/>
        <v>-</v>
      </c>
      <c r="AP244" s="57" t="str">
        <f t="shared" si="119"/>
        <v>-</v>
      </c>
      <c r="AQ244" s="86" t="str">
        <f t="shared" si="120"/>
        <v>-</v>
      </c>
      <c r="AR244" s="86" t="str">
        <f>IF(N244="","PRIMER_DIA en blanco",
IF(AND(M244="01",N244&gt;=L_Conversion!$C$118,N244&lt;=L_Conversion!$D$118),"-",
IF(AND(M244="02",N244&gt;=L_Conversion!$C$119,N244&lt;=L_Conversion!$D$119),"-",
IF(AND(M244="03",N244&gt;=L_Conversion!$C$120,N244&lt;=L_Conversion!$D$120),"-",
IF(AND(M244="04",N244&gt;=L_Conversion!$C$121,N244&lt;=L_Conversion!$D$121),"-",
IF(AND(M244="05",N244&gt;=L_Conversion!$C$122,N244&lt;=L_Conversion!$D$122),"-",
IF(AND(M244="06",N244&gt;=L_Conversion!$C$123,N244&lt;=L_Conversion!$D$123),"-",
IF(AND(M244="07",N244&gt;=L_Conversion!$C$124,N244&lt;=L_Conversion!$D$124),"-",
IF(AND(M244="08",N244&gt;=L_Conversion!$C$125,N244&lt;=L_Conversion!$D$125),"-",
IF(AND(M244="09",N244&gt;=L_Conversion!$C$126,N244&lt;=L_Conversion!$D$126),"-",
IF(AND(M244="10",N244&gt;=L_Conversion!$C$127,N244&lt;=L_Conversion!$D$127),"-",
IF(AND(M244="11",N244&gt;=L_Conversion!$C$128,N244&lt;=L_Conversion!$D$128),"-",
IF(AND(M244="12",N244&gt;=L_Conversion!$C$129,N244&lt;=L_Conversion!$D$129),"-",
IF(AND(M244="13",N244&gt;=L_Conversion!$C$116,N244&lt;=L_Conversion!$D$116),"-",
IF(AND(M244="14",N244&gt;=L_Conversion!$C$117,N244&lt;=L_Conversion!$D$117),"-",
"PRIMER_DIA fuera de rango")))))))))))))))</f>
        <v>-</v>
      </c>
      <c r="AS244" s="86" t="str">
        <f t="shared" si="121"/>
        <v>-</v>
      </c>
      <c r="AT244" s="86" t="str">
        <f t="shared" si="122"/>
        <v>-</v>
      </c>
      <c r="AU244" s="86" t="str">
        <f t="shared" si="123"/>
        <v>-</v>
      </c>
      <c r="AV244" s="86" t="str">
        <f t="shared" si="124"/>
        <v>-</v>
      </c>
      <c r="AW244" s="86" t="str">
        <f t="shared" si="125"/>
        <v>-</v>
      </c>
      <c r="AX244" s="86" t="str">
        <f t="shared" si="126"/>
        <v>-</v>
      </c>
      <c r="AY244" s="86" t="str">
        <f t="shared" si="127"/>
        <v>-</v>
      </c>
      <c r="AZ244" s="86" t="str">
        <f t="shared" si="128"/>
        <v>-</v>
      </c>
      <c r="BA244" s="86" t="str">
        <f t="shared" si="129"/>
        <v>-</v>
      </c>
      <c r="BB244" s="86" t="str">
        <f t="shared" si="130"/>
        <v>-</v>
      </c>
      <c r="BC244" s="86" t="str">
        <f t="shared" si="131"/>
        <v>-</v>
      </c>
      <c r="BD244" s="86" t="str">
        <f t="shared" si="132"/>
        <v>-</v>
      </c>
      <c r="BE244" s="86" t="str">
        <f t="shared" si="133"/>
        <v>-</v>
      </c>
      <c r="BF244" s="86" t="str">
        <f t="shared" si="134"/>
        <v>-</v>
      </c>
    </row>
    <row r="245" spans="1:58" x14ac:dyDescent="0.2">
      <c r="A245" s="19" t="s">
        <v>1144</v>
      </c>
      <c r="B245" s="19" t="s">
        <v>887</v>
      </c>
      <c r="C245" s="19">
        <v>16514974</v>
      </c>
      <c r="D245" s="81">
        <v>2</v>
      </c>
      <c r="E245" s="19" t="s">
        <v>1528</v>
      </c>
      <c r="F245" s="19" t="s">
        <v>1173</v>
      </c>
      <c r="G245" s="19" t="s">
        <v>1529</v>
      </c>
      <c r="H245" s="19" t="s">
        <v>663</v>
      </c>
      <c r="I245" s="19" t="s">
        <v>662</v>
      </c>
      <c r="J245" s="19">
        <v>80</v>
      </c>
      <c r="K245" s="19" t="s">
        <v>563</v>
      </c>
      <c r="L245" s="19" t="s">
        <v>502</v>
      </c>
      <c r="M245" s="19" t="s">
        <v>16</v>
      </c>
      <c r="N245" s="19">
        <v>45720</v>
      </c>
      <c r="O245" s="19">
        <v>7</v>
      </c>
      <c r="P245" s="81">
        <v>1</v>
      </c>
      <c r="Q245" s="19" t="s">
        <v>23</v>
      </c>
      <c r="R245" s="19" t="s">
        <v>11</v>
      </c>
      <c r="S245" s="19" t="s">
        <v>23</v>
      </c>
      <c r="T245" s="19">
        <v>7</v>
      </c>
      <c r="U245" s="19" t="s">
        <v>11</v>
      </c>
      <c r="V245" s="19" t="s">
        <v>11</v>
      </c>
      <c r="W245" s="19" t="s">
        <v>19</v>
      </c>
      <c r="X245" s="19">
        <v>356105</v>
      </c>
      <c r="Y245" s="19" t="s">
        <v>735</v>
      </c>
      <c r="Z245" s="19">
        <v>7</v>
      </c>
      <c r="AA245" s="19">
        <v>356105</v>
      </c>
      <c r="AB245" s="19">
        <v>356105</v>
      </c>
      <c r="AC245" s="178" t="str">
        <f>IF(OR(M245="13",M245="14",P245=8),"",IF(AND(OR(S245="AUTORIZADO", S245="PENDIENTE", S245="REDUCIDO", S245="AMPLIADO"),L245&lt;&gt;"HONORARIO" ), CONCATENATE(IF(H245="X","H",H245),"_",IF(OR(P245=5,P245=6),_xlfn.CONCAT(P245,"A"),P245),"_",VLOOKUP(T245,Datos!$B$2:$C$5,2,TRUE)),""))</f>
        <v>H_1_[4 a 10]</v>
      </c>
      <c r="AD245" s="178">
        <f t="shared" si="108"/>
        <v>712210</v>
      </c>
      <c r="AE245" s="82" t="str">
        <f t="shared" si="109"/>
        <v>-</v>
      </c>
      <c r="AF245" s="83" t="str">
        <f t="shared" si="110"/>
        <v>070607</v>
      </c>
      <c r="AG245" s="84"/>
      <c r="AH245" s="85" t="str">
        <f t="shared" si="111"/>
        <v>Corporación de Fomento de la Producción</v>
      </c>
      <c r="AI245" s="82" t="str">
        <f t="shared" si="112"/>
        <v>-</v>
      </c>
      <c r="AJ245" s="82">
        <f t="shared" si="113"/>
        <v>2</v>
      </c>
      <c r="AK245" s="82" t="str">
        <f t="shared" si="114"/>
        <v>-</v>
      </c>
      <c r="AL245" s="82" t="str">
        <f t="shared" si="115"/>
        <v>Identifica este registro como HOMBRE</v>
      </c>
      <c r="AM245" s="82" t="str">
        <f t="shared" si="116"/>
        <v>-</v>
      </c>
      <c r="AN245" s="82" t="str">
        <f t="shared" si="117"/>
        <v>-</v>
      </c>
      <c r="AO245" s="82" t="str">
        <f t="shared" si="118"/>
        <v>-</v>
      </c>
      <c r="AP245" s="57" t="str">
        <f t="shared" si="119"/>
        <v>-</v>
      </c>
      <c r="AQ245" s="86" t="str">
        <f t="shared" si="120"/>
        <v>-</v>
      </c>
      <c r="AR245" s="86" t="str">
        <f>IF(N245="","PRIMER_DIA en blanco",
IF(AND(M245="01",N245&gt;=L_Conversion!$C$118,N245&lt;=L_Conversion!$D$118),"-",
IF(AND(M245="02",N245&gt;=L_Conversion!$C$119,N245&lt;=L_Conversion!$D$119),"-",
IF(AND(M245="03",N245&gt;=L_Conversion!$C$120,N245&lt;=L_Conversion!$D$120),"-",
IF(AND(M245="04",N245&gt;=L_Conversion!$C$121,N245&lt;=L_Conversion!$D$121),"-",
IF(AND(M245="05",N245&gt;=L_Conversion!$C$122,N245&lt;=L_Conversion!$D$122),"-",
IF(AND(M245="06",N245&gt;=L_Conversion!$C$123,N245&lt;=L_Conversion!$D$123),"-",
IF(AND(M245="07",N245&gt;=L_Conversion!$C$124,N245&lt;=L_Conversion!$D$124),"-",
IF(AND(M245="08",N245&gt;=L_Conversion!$C$125,N245&lt;=L_Conversion!$D$125),"-",
IF(AND(M245="09",N245&gt;=L_Conversion!$C$126,N245&lt;=L_Conversion!$D$126),"-",
IF(AND(M245="10",N245&gt;=L_Conversion!$C$127,N245&lt;=L_Conversion!$D$127),"-",
IF(AND(M245="11",N245&gt;=L_Conversion!$C$128,N245&lt;=L_Conversion!$D$128),"-",
IF(AND(M245="12",N245&gt;=L_Conversion!$C$129,N245&lt;=L_Conversion!$D$129),"-",
IF(AND(M245="13",N245&gt;=L_Conversion!$C$116,N245&lt;=L_Conversion!$D$116),"-",
IF(AND(M245="14",N245&gt;=L_Conversion!$C$117,N245&lt;=L_Conversion!$D$117),"-",
"PRIMER_DIA fuera de rango")))))))))))))))</f>
        <v>-</v>
      </c>
      <c r="AS245" s="86" t="str">
        <f t="shared" si="121"/>
        <v>-</v>
      </c>
      <c r="AT245" s="86" t="str">
        <f t="shared" si="122"/>
        <v>-</v>
      </c>
      <c r="AU245" s="86" t="str">
        <f t="shared" si="123"/>
        <v>-</v>
      </c>
      <c r="AV245" s="86" t="str">
        <f t="shared" si="124"/>
        <v>-</v>
      </c>
      <c r="AW245" s="86" t="str">
        <f t="shared" si="125"/>
        <v>-</v>
      </c>
      <c r="AX245" s="86" t="str">
        <f t="shared" si="126"/>
        <v>-</v>
      </c>
      <c r="AY245" s="86" t="str">
        <f t="shared" si="127"/>
        <v>-</v>
      </c>
      <c r="AZ245" s="86" t="str">
        <f t="shared" si="128"/>
        <v>-</v>
      </c>
      <c r="BA245" s="86" t="str">
        <f t="shared" si="129"/>
        <v>-</v>
      </c>
      <c r="BB245" s="86" t="str">
        <f t="shared" si="130"/>
        <v>-</v>
      </c>
      <c r="BC245" s="86" t="str">
        <f t="shared" si="131"/>
        <v>-</v>
      </c>
      <c r="BD245" s="86" t="str">
        <f t="shared" si="132"/>
        <v>-</v>
      </c>
      <c r="BE245" s="86" t="str">
        <f t="shared" si="133"/>
        <v>-</v>
      </c>
      <c r="BF245" s="86" t="str">
        <f t="shared" si="134"/>
        <v>-</v>
      </c>
    </row>
    <row r="246" spans="1:58" x14ac:dyDescent="0.2">
      <c r="A246" s="19" t="s">
        <v>1144</v>
      </c>
      <c r="B246" s="19" t="s">
        <v>76</v>
      </c>
      <c r="C246" s="19">
        <v>8128838</v>
      </c>
      <c r="D246" s="81">
        <v>0</v>
      </c>
      <c r="E246" s="19" t="s">
        <v>1303</v>
      </c>
      <c r="F246" s="19" t="s">
        <v>1558</v>
      </c>
      <c r="G246" s="19" t="s">
        <v>1559</v>
      </c>
      <c r="H246" s="19" t="s">
        <v>1033</v>
      </c>
      <c r="I246" s="19" t="s">
        <v>662</v>
      </c>
      <c r="J246" s="19">
        <v>60</v>
      </c>
      <c r="K246" s="19" t="s">
        <v>567</v>
      </c>
      <c r="L246" s="19" t="s">
        <v>497</v>
      </c>
      <c r="M246" s="19" t="s">
        <v>16</v>
      </c>
      <c r="N246" s="19">
        <v>45720</v>
      </c>
      <c r="O246" s="19">
        <v>15</v>
      </c>
      <c r="P246" s="81">
        <v>1</v>
      </c>
      <c r="Q246" s="19" t="s">
        <v>23</v>
      </c>
      <c r="R246" s="19" t="s">
        <v>11</v>
      </c>
      <c r="S246" s="19" t="s">
        <v>23</v>
      </c>
      <c r="T246" s="19">
        <v>15</v>
      </c>
      <c r="U246" s="19" t="s">
        <v>11</v>
      </c>
      <c r="V246" s="19" t="s">
        <v>11</v>
      </c>
      <c r="W246" s="19" t="s">
        <v>19</v>
      </c>
      <c r="X246" s="19">
        <v>1260724</v>
      </c>
      <c r="Y246" s="19" t="s">
        <v>735</v>
      </c>
      <c r="Z246" s="19">
        <v>15</v>
      </c>
      <c r="AA246" s="19">
        <v>1260724</v>
      </c>
      <c r="AB246" s="19">
        <v>1260724</v>
      </c>
      <c r="AC246" s="178" t="str">
        <f>IF(OR(M246="13",M246="14",P246=8),"",IF(AND(OR(S246="AUTORIZADO", S246="PENDIENTE", S246="REDUCIDO", S246="AMPLIADO"),L246&lt;&gt;"HONORARIO" ), CONCATENATE(IF(H246="X","H",H246),"_",IF(OR(P246=5,P246=6),_xlfn.CONCAT(P246,"A"),P246),"_",VLOOKUP(T246,Datos!$B$2:$C$5,2,TRUE)),""))</f>
        <v>M_1_[11 +]</v>
      </c>
      <c r="AD246" s="178">
        <f t="shared" si="108"/>
        <v>2521448</v>
      </c>
      <c r="AE246" s="82" t="str">
        <f t="shared" si="109"/>
        <v>-</v>
      </c>
      <c r="AF246" s="83" t="str">
        <f t="shared" si="110"/>
        <v>070601</v>
      </c>
      <c r="AG246" s="84"/>
      <c r="AH246" s="85" t="str">
        <f t="shared" si="111"/>
        <v>Corporación de Fomento de la Producción</v>
      </c>
      <c r="AI246" s="82" t="str">
        <f t="shared" si="112"/>
        <v>-</v>
      </c>
      <c r="AJ246" s="82">
        <f t="shared" si="113"/>
        <v>0</v>
      </c>
      <c r="AK246" s="82" t="str">
        <f t="shared" si="114"/>
        <v>-</v>
      </c>
      <c r="AL246" s="82" t="str">
        <f t="shared" si="115"/>
        <v>Identifica este registro como MUJER</v>
      </c>
      <c r="AM246" s="82" t="str">
        <f t="shared" si="116"/>
        <v>-</v>
      </c>
      <c r="AN246" s="82" t="str">
        <f t="shared" si="117"/>
        <v>-</v>
      </c>
      <c r="AO246" s="82" t="str">
        <f t="shared" si="118"/>
        <v>-</v>
      </c>
      <c r="AP246" s="57" t="str">
        <f t="shared" si="119"/>
        <v>-</v>
      </c>
      <c r="AQ246" s="86" t="str">
        <f t="shared" si="120"/>
        <v>-</v>
      </c>
      <c r="AR246" s="86" t="str">
        <f>IF(N246="","PRIMER_DIA en blanco",
IF(AND(M246="01",N246&gt;=L_Conversion!$C$118,N246&lt;=L_Conversion!$D$118),"-",
IF(AND(M246="02",N246&gt;=L_Conversion!$C$119,N246&lt;=L_Conversion!$D$119),"-",
IF(AND(M246="03",N246&gt;=L_Conversion!$C$120,N246&lt;=L_Conversion!$D$120),"-",
IF(AND(M246="04",N246&gt;=L_Conversion!$C$121,N246&lt;=L_Conversion!$D$121),"-",
IF(AND(M246="05",N246&gt;=L_Conversion!$C$122,N246&lt;=L_Conversion!$D$122),"-",
IF(AND(M246="06",N246&gt;=L_Conversion!$C$123,N246&lt;=L_Conversion!$D$123),"-",
IF(AND(M246="07",N246&gt;=L_Conversion!$C$124,N246&lt;=L_Conversion!$D$124),"-",
IF(AND(M246="08",N246&gt;=L_Conversion!$C$125,N246&lt;=L_Conversion!$D$125),"-",
IF(AND(M246="09",N246&gt;=L_Conversion!$C$126,N246&lt;=L_Conversion!$D$126),"-",
IF(AND(M246="10",N246&gt;=L_Conversion!$C$127,N246&lt;=L_Conversion!$D$127),"-",
IF(AND(M246="11",N246&gt;=L_Conversion!$C$128,N246&lt;=L_Conversion!$D$128),"-",
IF(AND(M246="12",N246&gt;=L_Conversion!$C$129,N246&lt;=L_Conversion!$D$129),"-",
IF(AND(M246="13",N246&gt;=L_Conversion!$C$116,N246&lt;=L_Conversion!$D$116),"-",
IF(AND(M246="14",N246&gt;=L_Conversion!$C$117,N246&lt;=L_Conversion!$D$117),"-",
"PRIMER_DIA fuera de rango")))))))))))))))</f>
        <v>-</v>
      </c>
      <c r="AS246" s="86" t="str">
        <f t="shared" si="121"/>
        <v>-</v>
      </c>
      <c r="AT246" s="86" t="str">
        <f t="shared" si="122"/>
        <v>-</v>
      </c>
      <c r="AU246" s="86" t="str">
        <f t="shared" si="123"/>
        <v>-</v>
      </c>
      <c r="AV246" s="86" t="str">
        <f t="shared" si="124"/>
        <v>-</v>
      </c>
      <c r="AW246" s="86" t="str">
        <f t="shared" si="125"/>
        <v>-</v>
      </c>
      <c r="AX246" s="86" t="str">
        <f t="shared" si="126"/>
        <v>-</v>
      </c>
      <c r="AY246" s="86" t="str">
        <f t="shared" si="127"/>
        <v>-</v>
      </c>
      <c r="AZ246" s="86" t="str">
        <f t="shared" si="128"/>
        <v>-</v>
      </c>
      <c r="BA246" s="86" t="str">
        <f t="shared" si="129"/>
        <v>-</v>
      </c>
      <c r="BB246" s="86" t="str">
        <f t="shared" si="130"/>
        <v>-</v>
      </c>
      <c r="BC246" s="86" t="str">
        <f t="shared" si="131"/>
        <v>-</v>
      </c>
      <c r="BD246" s="86" t="str">
        <f t="shared" si="132"/>
        <v>-</v>
      </c>
      <c r="BE246" s="86" t="str">
        <f t="shared" si="133"/>
        <v>-</v>
      </c>
      <c r="BF246" s="86" t="str">
        <f t="shared" si="134"/>
        <v>-</v>
      </c>
    </row>
    <row r="247" spans="1:58" x14ac:dyDescent="0.2">
      <c r="A247" s="19" t="s">
        <v>1144</v>
      </c>
      <c r="B247" s="19" t="s">
        <v>76</v>
      </c>
      <c r="C247" s="19">
        <v>13687239</v>
      </c>
      <c r="D247" s="81">
        <v>7</v>
      </c>
      <c r="E247" s="19" t="s">
        <v>1560</v>
      </c>
      <c r="F247" s="19" t="s">
        <v>1561</v>
      </c>
      <c r="G247" s="19" t="s">
        <v>1562</v>
      </c>
      <c r="H247" s="19" t="s">
        <v>1033</v>
      </c>
      <c r="I247" s="19" t="s">
        <v>662</v>
      </c>
      <c r="J247" s="19">
        <v>80</v>
      </c>
      <c r="K247" s="19" t="s">
        <v>563</v>
      </c>
      <c r="L247" s="19" t="s">
        <v>502</v>
      </c>
      <c r="M247" s="19" t="s">
        <v>16</v>
      </c>
      <c r="N247" s="19">
        <v>45721</v>
      </c>
      <c r="O247" s="19">
        <v>3</v>
      </c>
      <c r="P247" s="81">
        <v>1</v>
      </c>
      <c r="Q247" s="19" t="s">
        <v>23</v>
      </c>
      <c r="R247" s="19" t="s">
        <v>11</v>
      </c>
      <c r="S247" s="19" t="s">
        <v>23</v>
      </c>
      <c r="T247" s="19">
        <v>3</v>
      </c>
      <c r="U247" s="19" t="s">
        <v>11</v>
      </c>
      <c r="V247" s="19" t="s">
        <v>19</v>
      </c>
      <c r="W247" s="19" t="s">
        <v>19</v>
      </c>
      <c r="X247" s="19">
        <v>63262</v>
      </c>
      <c r="Y247" s="19" t="s">
        <v>735</v>
      </c>
      <c r="Z247" s="19">
        <v>3</v>
      </c>
      <c r="AA247" s="19">
        <v>63262</v>
      </c>
      <c r="AB247" s="19">
        <v>63262</v>
      </c>
      <c r="AC247" s="178" t="str">
        <f>IF(OR(M247="13",M247="14",P247=8),"",IF(AND(OR(S247="AUTORIZADO", S247="PENDIENTE", S247="REDUCIDO", S247="AMPLIADO"),L247&lt;&gt;"HONORARIO" ), CONCATENATE(IF(H247="X","H",H247),"_",IF(OR(P247=5,P247=6),_xlfn.CONCAT(P247,"A"),P247),"_",VLOOKUP(T247,Datos!$B$2:$C$5,2,TRUE)),""))</f>
        <v>M_1_[hasta 3]</v>
      </c>
      <c r="AD247" s="178">
        <f t="shared" si="108"/>
        <v>126524</v>
      </c>
      <c r="AE247" s="82" t="str">
        <f t="shared" si="109"/>
        <v>-</v>
      </c>
      <c r="AF247" s="83" t="str">
        <f t="shared" si="110"/>
        <v>070601</v>
      </c>
      <c r="AG247" s="84"/>
      <c r="AH247" s="85" t="str">
        <f t="shared" si="111"/>
        <v>Corporación de Fomento de la Producción</v>
      </c>
      <c r="AI247" s="82" t="str">
        <f t="shared" si="112"/>
        <v>-</v>
      </c>
      <c r="AJ247" s="82">
        <f t="shared" si="113"/>
        <v>7</v>
      </c>
      <c r="AK247" s="82" t="str">
        <f t="shared" si="114"/>
        <v>-</v>
      </c>
      <c r="AL247" s="82" t="str">
        <f t="shared" si="115"/>
        <v>Identifica este registro como MUJER</v>
      </c>
      <c r="AM247" s="82" t="str">
        <f t="shared" si="116"/>
        <v>-</v>
      </c>
      <c r="AN247" s="82" t="str">
        <f t="shared" si="117"/>
        <v>-</v>
      </c>
      <c r="AO247" s="82" t="str">
        <f t="shared" si="118"/>
        <v>-</v>
      </c>
      <c r="AP247" s="57" t="str">
        <f t="shared" si="119"/>
        <v>-</v>
      </c>
      <c r="AQ247" s="86" t="str">
        <f t="shared" si="120"/>
        <v>-</v>
      </c>
      <c r="AR247" s="86" t="str">
        <f>IF(N247="","PRIMER_DIA en blanco",
IF(AND(M247="01",N247&gt;=L_Conversion!$C$118,N247&lt;=L_Conversion!$D$118),"-",
IF(AND(M247="02",N247&gt;=L_Conversion!$C$119,N247&lt;=L_Conversion!$D$119),"-",
IF(AND(M247="03",N247&gt;=L_Conversion!$C$120,N247&lt;=L_Conversion!$D$120),"-",
IF(AND(M247="04",N247&gt;=L_Conversion!$C$121,N247&lt;=L_Conversion!$D$121),"-",
IF(AND(M247="05",N247&gt;=L_Conversion!$C$122,N247&lt;=L_Conversion!$D$122),"-",
IF(AND(M247="06",N247&gt;=L_Conversion!$C$123,N247&lt;=L_Conversion!$D$123),"-",
IF(AND(M247="07",N247&gt;=L_Conversion!$C$124,N247&lt;=L_Conversion!$D$124),"-",
IF(AND(M247="08",N247&gt;=L_Conversion!$C$125,N247&lt;=L_Conversion!$D$125),"-",
IF(AND(M247="09",N247&gt;=L_Conversion!$C$126,N247&lt;=L_Conversion!$D$126),"-",
IF(AND(M247="10",N247&gt;=L_Conversion!$C$127,N247&lt;=L_Conversion!$D$127),"-",
IF(AND(M247="11",N247&gt;=L_Conversion!$C$128,N247&lt;=L_Conversion!$D$128),"-",
IF(AND(M247="12",N247&gt;=L_Conversion!$C$129,N247&lt;=L_Conversion!$D$129),"-",
IF(AND(M247="13",N247&gt;=L_Conversion!$C$116,N247&lt;=L_Conversion!$D$116),"-",
IF(AND(M247="14",N247&gt;=L_Conversion!$C$117,N247&lt;=L_Conversion!$D$117),"-",
"PRIMER_DIA fuera de rango")))))))))))))))</f>
        <v>-</v>
      </c>
      <c r="AS247" s="86" t="str">
        <f t="shared" si="121"/>
        <v>-</v>
      </c>
      <c r="AT247" s="86" t="str">
        <f t="shared" si="122"/>
        <v>-</v>
      </c>
      <c r="AU247" s="86" t="str">
        <f t="shared" si="123"/>
        <v>-</v>
      </c>
      <c r="AV247" s="86" t="str">
        <f t="shared" si="124"/>
        <v>-</v>
      </c>
      <c r="AW247" s="86" t="str">
        <f t="shared" si="125"/>
        <v>-</v>
      </c>
      <c r="AX247" s="86" t="str">
        <f t="shared" si="126"/>
        <v>-</v>
      </c>
      <c r="AY247" s="86" t="str">
        <f t="shared" si="127"/>
        <v>-</v>
      </c>
      <c r="AZ247" s="86" t="str">
        <f t="shared" si="128"/>
        <v>-</v>
      </c>
      <c r="BA247" s="86" t="str">
        <f t="shared" si="129"/>
        <v>-</v>
      </c>
      <c r="BB247" s="86" t="str">
        <f t="shared" si="130"/>
        <v>-</v>
      </c>
      <c r="BC247" s="86" t="str">
        <f t="shared" si="131"/>
        <v>-</v>
      </c>
      <c r="BD247" s="86" t="str">
        <f t="shared" si="132"/>
        <v>-</v>
      </c>
      <c r="BE247" s="86" t="str">
        <f t="shared" si="133"/>
        <v>-</v>
      </c>
      <c r="BF247" s="86" t="str">
        <f t="shared" si="134"/>
        <v>-</v>
      </c>
    </row>
    <row r="248" spans="1:58" x14ac:dyDescent="0.2">
      <c r="A248" s="19" t="s">
        <v>1144</v>
      </c>
      <c r="B248" s="19" t="s">
        <v>76</v>
      </c>
      <c r="C248" s="19">
        <v>15009402</v>
      </c>
      <c r="D248" s="81" t="s">
        <v>1151</v>
      </c>
      <c r="E248" s="19" t="s">
        <v>1383</v>
      </c>
      <c r="F248" s="19" t="s">
        <v>1384</v>
      </c>
      <c r="G248" s="19" t="s">
        <v>1385</v>
      </c>
      <c r="H248" s="19" t="s">
        <v>663</v>
      </c>
      <c r="I248" s="19" t="s">
        <v>662</v>
      </c>
      <c r="J248" s="19">
        <v>80</v>
      </c>
      <c r="K248" s="19" t="s">
        <v>563</v>
      </c>
      <c r="L248" s="19" t="s">
        <v>502</v>
      </c>
      <c r="M248" s="19" t="s">
        <v>16</v>
      </c>
      <c r="N248" s="19">
        <v>45721</v>
      </c>
      <c r="O248" s="19">
        <v>3</v>
      </c>
      <c r="P248" s="81">
        <v>1</v>
      </c>
      <c r="Q248" s="19" t="s">
        <v>23</v>
      </c>
      <c r="R248" s="19" t="s">
        <v>11</v>
      </c>
      <c r="S248" s="19" t="s">
        <v>23</v>
      </c>
      <c r="T248" s="19">
        <v>3</v>
      </c>
      <c r="U248" s="19" t="s">
        <v>11</v>
      </c>
      <c r="V248" s="19" t="s">
        <v>19</v>
      </c>
      <c r="W248" s="19" t="s">
        <v>19</v>
      </c>
      <c r="X248" s="19">
        <v>54000</v>
      </c>
      <c r="Y248" s="19" t="s">
        <v>735</v>
      </c>
      <c r="Z248" s="19">
        <v>3</v>
      </c>
      <c r="AA248" s="19">
        <v>54000</v>
      </c>
      <c r="AB248" s="19">
        <v>54000</v>
      </c>
      <c r="AC248" s="178" t="str">
        <f>IF(OR(M248="13",M248="14",P248=8),"",IF(AND(OR(S248="AUTORIZADO", S248="PENDIENTE", S248="REDUCIDO", S248="AMPLIADO"),L248&lt;&gt;"HONORARIO" ), CONCATENATE(IF(H248="X","H",H248),"_",IF(OR(P248=5,P248=6),_xlfn.CONCAT(P248,"A"),P248),"_",VLOOKUP(T248,Datos!$B$2:$C$5,2,TRUE)),""))</f>
        <v>H_1_[hasta 3]</v>
      </c>
      <c r="AD248" s="178">
        <f t="shared" si="108"/>
        <v>108000</v>
      </c>
      <c r="AE248" s="82" t="str">
        <f t="shared" si="109"/>
        <v>-</v>
      </c>
      <c r="AF248" s="83" t="str">
        <f t="shared" si="110"/>
        <v>070601</v>
      </c>
      <c r="AG248" s="84"/>
      <c r="AH248" s="85" t="str">
        <f t="shared" si="111"/>
        <v>Corporación de Fomento de la Producción</v>
      </c>
      <c r="AI248" s="82" t="str">
        <f t="shared" si="112"/>
        <v>-</v>
      </c>
      <c r="AJ248" s="82" t="str">
        <f t="shared" si="113"/>
        <v>K</v>
      </c>
      <c r="AK248" s="82" t="str">
        <f t="shared" si="114"/>
        <v>-</v>
      </c>
      <c r="AL248" s="82" t="str">
        <f t="shared" si="115"/>
        <v>Identifica este registro como HOMBRE</v>
      </c>
      <c r="AM248" s="82" t="str">
        <f t="shared" si="116"/>
        <v>-</v>
      </c>
      <c r="AN248" s="82" t="str">
        <f t="shared" si="117"/>
        <v>-</v>
      </c>
      <c r="AO248" s="82" t="str">
        <f t="shared" si="118"/>
        <v>-</v>
      </c>
      <c r="AP248" s="57" t="str">
        <f t="shared" si="119"/>
        <v>-</v>
      </c>
      <c r="AQ248" s="86" t="str">
        <f t="shared" si="120"/>
        <v>-</v>
      </c>
      <c r="AR248" s="86" t="str">
        <f>IF(N248="","PRIMER_DIA en blanco",
IF(AND(M248="01",N248&gt;=L_Conversion!$C$118,N248&lt;=L_Conversion!$D$118),"-",
IF(AND(M248="02",N248&gt;=L_Conversion!$C$119,N248&lt;=L_Conversion!$D$119),"-",
IF(AND(M248="03",N248&gt;=L_Conversion!$C$120,N248&lt;=L_Conversion!$D$120),"-",
IF(AND(M248="04",N248&gt;=L_Conversion!$C$121,N248&lt;=L_Conversion!$D$121),"-",
IF(AND(M248="05",N248&gt;=L_Conversion!$C$122,N248&lt;=L_Conversion!$D$122),"-",
IF(AND(M248="06",N248&gt;=L_Conversion!$C$123,N248&lt;=L_Conversion!$D$123),"-",
IF(AND(M248="07",N248&gt;=L_Conversion!$C$124,N248&lt;=L_Conversion!$D$124),"-",
IF(AND(M248="08",N248&gt;=L_Conversion!$C$125,N248&lt;=L_Conversion!$D$125),"-",
IF(AND(M248="09",N248&gt;=L_Conversion!$C$126,N248&lt;=L_Conversion!$D$126),"-",
IF(AND(M248="10",N248&gt;=L_Conversion!$C$127,N248&lt;=L_Conversion!$D$127),"-",
IF(AND(M248="11",N248&gt;=L_Conversion!$C$128,N248&lt;=L_Conversion!$D$128),"-",
IF(AND(M248="12",N248&gt;=L_Conversion!$C$129,N248&lt;=L_Conversion!$D$129),"-",
IF(AND(M248="13",N248&gt;=L_Conversion!$C$116,N248&lt;=L_Conversion!$D$116),"-",
IF(AND(M248="14",N248&gt;=L_Conversion!$C$117,N248&lt;=L_Conversion!$D$117),"-",
"PRIMER_DIA fuera de rango")))))))))))))))</f>
        <v>-</v>
      </c>
      <c r="AS248" s="86" t="str">
        <f t="shared" si="121"/>
        <v>-</v>
      </c>
      <c r="AT248" s="86" t="str">
        <f t="shared" si="122"/>
        <v>-</v>
      </c>
      <c r="AU248" s="86" t="str">
        <f t="shared" si="123"/>
        <v>-</v>
      </c>
      <c r="AV248" s="86" t="str">
        <f t="shared" si="124"/>
        <v>-</v>
      </c>
      <c r="AW248" s="86" t="str">
        <f t="shared" si="125"/>
        <v>-</v>
      </c>
      <c r="AX248" s="86" t="str">
        <f t="shared" si="126"/>
        <v>-</v>
      </c>
      <c r="AY248" s="86" t="str">
        <f t="shared" si="127"/>
        <v>-</v>
      </c>
      <c r="AZ248" s="86" t="str">
        <f t="shared" si="128"/>
        <v>-</v>
      </c>
      <c r="BA248" s="86" t="str">
        <f t="shared" si="129"/>
        <v>-</v>
      </c>
      <c r="BB248" s="86" t="str">
        <f t="shared" si="130"/>
        <v>-</v>
      </c>
      <c r="BC248" s="86" t="str">
        <f t="shared" si="131"/>
        <v>-</v>
      </c>
      <c r="BD248" s="86" t="str">
        <f t="shared" si="132"/>
        <v>-</v>
      </c>
      <c r="BE248" s="86" t="str">
        <f t="shared" si="133"/>
        <v>-</v>
      </c>
      <c r="BF248" s="86" t="str">
        <f t="shared" si="134"/>
        <v>-</v>
      </c>
    </row>
    <row r="249" spans="1:58" x14ac:dyDescent="0.2">
      <c r="A249" s="19" t="s">
        <v>1144</v>
      </c>
      <c r="B249" s="19" t="s">
        <v>76</v>
      </c>
      <c r="C249" s="19">
        <v>10440137</v>
      </c>
      <c r="D249" s="81">
        <v>6</v>
      </c>
      <c r="E249" s="19" t="s">
        <v>1563</v>
      </c>
      <c r="F249" s="19" t="s">
        <v>1250</v>
      </c>
      <c r="G249" s="19" t="s">
        <v>1564</v>
      </c>
      <c r="H249" s="19" t="s">
        <v>1033</v>
      </c>
      <c r="I249" s="19" t="s">
        <v>662</v>
      </c>
      <c r="J249" s="19">
        <v>80</v>
      </c>
      <c r="K249" s="19" t="s">
        <v>567</v>
      </c>
      <c r="L249" s="19" t="s">
        <v>502</v>
      </c>
      <c r="M249" s="19" t="s">
        <v>16</v>
      </c>
      <c r="N249" s="19">
        <v>45721</v>
      </c>
      <c r="O249" s="19">
        <v>3</v>
      </c>
      <c r="P249" s="81">
        <v>1</v>
      </c>
      <c r="Q249" s="19" t="s">
        <v>23</v>
      </c>
      <c r="R249" s="19" t="s">
        <v>11</v>
      </c>
      <c r="S249" s="19" t="s">
        <v>23</v>
      </c>
      <c r="T249" s="19">
        <v>3</v>
      </c>
      <c r="U249" s="19" t="s">
        <v>11</v>
      </c>
      <c r="V249" s="19" t="s">
        <v>19</v>
      </c>
      <c r="W249" s="19" t="s">
        <v>19</v>
      </c>
      <c r="X249" s="19">
        <v>38204</v>
      </c>
      <c r="Y249" s="19" t="s">
        <v>735</v>
      </c>
      <c r="Z249" s="19">
        <v>3</v>
      </c>
      <c r="AA249" s="19">
        <v>38204</v>
      </c>
      <c r="AB249" s="19">
        <v>38204</v>
      </c>
      <c r="AC249" s="178" t="str">
        <f>IF(OR(M249="13",M249="14",P249=8),"",IF(AND(OR(S249="AUTORIZADO", S249="PENDIENTE", S249="REDUCIDO", S249="AMPLIADO"),L249&lt;&gt;"HONORARIO" ), CONCATENATE(IF(H249="X","H",H249),"_",IF(OR(P249=5,P249=6),_xlfn.CONCAT(P249,"A"),P249),"_",VLOOKUP(T249,Datos!$B$2:$C$5,2,TRUE)),""))</f>
        <v>M_1_[hasta 3]</v>
      </c>
      <c r="AD249" s="178">
        <f t="shared" si="108"/>
        <v>76408</v>
      </c>
      <c r="AE249" s="82" t="str">
        <f t="shared" si="109"/>
        <v>-</v>
      </c>
      <c r="AF249" s="83" t="str">
        <f t="shared" si="110"/>
        <v>070601</v>
      </c>
      <c r="AG249" s="84"/>
      <c r="AH249" s="85" t="str">
        <f t="shared" si="111"/>
        <v>Corporación de Fomento de la Producción</v>
      </c>
      <c r="AI249" s="82" t="str">
        <f t="shared" si="112"/>
        <v>-</v>
      </c>
      <c r="AJ249" s="82">
        <f t="shared" si="113"/>
        <v>6</v>
      </c>
      <c r="AK249" s="82" t="str">
        <f t="shared" si="114"/>
        <v>-</v>
      </c>
      <c r="AL249" s="82" t="str">
        <f t="shared" si="115"/>
        <v>Identifica este registro como MUJER</v>
      </c>
      <c r="AM249" s="82" t="str">
        <f t="shared" si="116"/>
        <v>-</v>
      </c>
      <c r="AN249" s="82" t="str">
        <f t="shared" si="117"/>
        <v>-</v>
      </c>
      <c r="AO249" s="82" t="str">
        <f t="shared" si="118"/>
        <v>-</v>
      </c>
      <c r="AP249" s="57" t="str">
        <f t="shared" si="119"/>
        <v>-</v>
      </c>
      <c r="AQ249" s="86" t="str">
        <f t="shared" si="120"/>
        <v>-</v>
      </c>
      <c r="AR249" s="86" t="str">
        <f>IF(N249="","PRIMER_DIA en blanco",
IF(AND(M249="01",N249&gt;=L_Conversion!$C$118,N249&lt;=L_Conversion!$D$118),"-",
IF(AND(M249="02",N249&gt;=L_Conversion!$C$119,N249&lt;=L_Conversion!$D$119),"-",
IF(AND(M249="03",N249&gt;=L_Conversion!$C$120,N249&lt;=L_Conversion!$D$120),"-",
IF(AND(M249="04",N249&gt;=L_Conversion!$C$121,N249&lt;=L_Conversion!$D$121),"-",
IF(AND(M249="05",N249&gt;=L_Conversion!$C$122,N249&lt;=L_Conversion!$D$122),"-",
IF(AND(M249="06",N249&gt;=L_Conversion!$C$123,N249&lt;=L_Conversion!$D$123),"-",
IF(AND(M249="07",N249&gt;=L_Conversion!$C$124,N249&lt;=L_Conversion!$D$124),"-",
IF(AND(M249="08",N249&gt;=L_Conversion!$C$125,N249&lt;=L_Conversion!$D$125),"-",
IF(AND(M249="09",N249&gt;=L_Conversion!$C$126,N249&lt;=L_Conversion!$D$126),"-",
IF(AND(M249="10",N249&gt;=L_Conversion!$C$127,N249&lt;=L_Conversion!$D$127),"-",
IF(AND(M249="11",N249&gt;=L_Conversion!$C$128,N249&lt;=L_Conversion!$D$128),"-",
IF(AND(M249="12",N249&gt;=L_Conversion!$C$129,N249&lt;=L_Conversion!$D$129),"-",
IF(AND(M249="13",N249&gt;=L_Conversion!$C$116,N249&lt;=L_Conversion!$D$116),"-",
IF(AND(M249="14",N249&gt;=L_Conversion!$C$117,N249&lt;=L_Conversion!$D$117),"-",
"PRIMER_DIA fuera de rango")))))))))))))))</f>
        <v>-</v>
      </c>
      <c r="AS249" s="86" t="str">
        <f t="shared" si="121"/>
        <v>-</v>
      </c>
      <c r="AT249" s="86" t="str">
        <f t="shared" si="122"/>
        <v>-</v>
      </c>
      <c r="AU249" s="86" t="str">
        <f t="shared" si="123"/>
        <v>-</v>
      </c>
      <c r="AV249" s="86" t="str">
        <f t="shared" si="124"/>
        <v>-</v>
      </c>
      <c r="AW249" s="86" t="str">
        <f t="shared" si="125"/>
        <v>-</v>
      </c>
      <c r="AX249" s="86" t="str">
        <f t="shared" si="126"/>
        <v>-</v>
      </c>
      <c r="AY249" s="86" t="str">
        <f t="shared" si="127"/>
        <v>-</v>
      </c>
      <c r="AZ249" s="86" t="str">
        <f t="shared" si="128"/>
        <v>-</v>
      </c>
      <c r="BA249" s="86" t="str">
        <f t="shared" si="129"/>
        <v>-</v>
      </c>
      <c r="BB249" s="86" t="str">
        <f t="shared" si="130"/>
        <v>-</v>
      </c>
      <c r="BC249" s="86" t="str">
        <f t="shared" si="131"/>
        <v>-</v>
      </c>
      <c r="BD249" s="86" t="str">
        <f t="shared" si="132"/>
        <v>-</v>
      </c>
      <c r="BE249" s="86" t="str">
        <f t="shared" si="133"/>
        <v>-</v>
      </c>
      <c r="BF249" s="86" t="str">
        <f t="shared" si="134"/>
        <v>-</v>
      </c>
    </row>
    <row r="250" spans="1:58" x14ac:dyDescent="0.2">
      <c r="A250" s="19" t="s">
        <v>1144</v>
      </c>
      <c r="B250" s="19" t="s">
        <v>76</v>
      </c>
      <c r="C250" s="19">
        <v>18693838</v>
      </c>
      <c r="D250" s="81">
        <v>0</v>
      </c>
      <c r="E250" s="19" t="s">
        <v>1182</v>
      </c>
      <c r="F250" s="19" t="s">
        <v>1381</v>
      </c>
      <c r="G250" s="19" t="s">
        <v>1382</v>
      </c>
      <c r="H250" s="19" t="s">
        <v>1033</v>
      </c>
      <c r="I250" s="19" t="s">
        <v>662</v>
      </c>
      <c r="J250" s="19">
        <v>80</v>
      </c>
      <c r="K250" s="19" t="s">
        <v>563</v>
      </c>
      <c r="L250" s="19" t="s">
        <v>502</v>
      </c>
      <c r="M250" s="19" t="s">
        <v>16</v>
      </c>
      <c r="N250" s="19">
        <v>45721</v>
      </c>
      <c r="O250" s="19">
        <v>1</v>
      </c>
      <c r="P250" s="81">
        <v>1</v>
      </c>
      <c r="Q250" s="19" t="s">
        <v>23</v>
      </c>
      <c r="R250" s="19" t="s">
        <v>11</v>
      </c>
      <c r="S250" s="19" t="s">
        <v>23</v>
      </c>
      <c r="T250" s="19">
        <v>1</v>
      </c>
      <c r="U250" s="19" t="s">
        <v>11</v>
      </c>
      <c r="V250" s="19" t="s">
        <v>19</v>
      </c>
      <c r="W250" s="19" t="s">
        <v>19</v>
      </c>
      <c r="X250" s="19">
        <v>14716</v>
      </c>
      <c r="Y250" s="19" t="s">
        <v>735</v>
      </c>
      <c r="Z250" s="19">
        <v>1</v>
      </c>
      <c r="AA250" s="19">
        <v>14716</v>
      </c>
      <c r="AB250" s="19">
        <v>14716</v>
      </c>
      <c r="AC250" s="178" t="str">
        <f>IF(OR(M250="13",M250="14",P250=8),"",IF(AND(OR(S250="AUTORIZADO", S250="PENDIENTE", S250="REDUCIDO", S250="AMPLIADO"),L250&lt;&gt;"HONORARIO" ), CONCATENATE(IF(H250="X","H",H250),"_",IF(OR(P250=5,P250=6),_xlfn.CONCAT(P250,"A"),P250),"_",VLOOKUP(T250,Datos!$B$2:$C$5,2,TRUE)),""))</f>
        <v>M_1_[hasta 3]</v>
      </c>
      <c r="AD250" s="178">
        <f t="shared" si="108"/>
        <v>29432</v>
      </c>
      <c r="AE250" s="82" t="str">
        <f t="shared" si="109"/>
        <v>-</v>
      </c>
      <c r="AF250" s="83" t="str">
        <f t="shared" si="110"/>
        <v>070601</v>
      </c>
      <c r="AG250" s="84"/>
      <c r="AH250" s="85" t="str">
        <f t="shared" si="111"/>
        <v>Corporación de Fomento de la Producción</v>
      </c>
      <c r="AI250" s="82" t="str">
        <f t="shared" si="112"/>
        <v>-</v>
      </c>
      <c r="AJ250" s="82">
        <f t="shared" si="113"/>
        <v>0</v>
      </c>
      <c r="AK250" s="82" t="str">
        <f t="shared" si="114"/>
        <v>-</v>
      </c>
      <c r="AL250" s="82" t="str">
        <f t="shared" si="115"/>
        <v>Identifica este registro como MUJER</v>
      </c>
      <c r="AM250" s="82" t="str">
        <f t="shared" si="116"/>
        <v>-</v>
      </c>
      <c r="AN250" s="82" t="str">
        <f t="shared" si="117"/>
        <v>-</v>
      </c>
      <c r="AO250" s="82" t="str">
        <f t="shared" si="118"/>
        <v>-</v>
      </c>
      <c r="AP250" s="57" t="str">
        <f t="shared" si="119"/>
        <v>-</v>
      </c>
      <c r="AQ250" s="86" t="str">
        <f t="shared" si="120"/>
        <v>-</v>
      </c>
      <c r="AR250" s="86" t="str">
        <f>IF(N250="","PRIMER_DIA en blanco",
IF(AND(M250="01",N250&gt;=L_Conversion!$C$118,N250&lt;=L_Conversion!$D$118),"-",
IF(AND(M250="02",N250&gt;=L_Conversion!$C$119,N250&lt;=L_Conversion!$D$119),"-",
IF(AND(M250="03",N250&gt;=L_Conversion!$C$120,N250&lt;=L_Conversion!$D$120),"-",
IF(AND(M250="04",N250&gt;=L_Conversion!$C$121,N250&lt;=L_Conversion!$D$121),"-",
IF(AND(M250="05",N250&gt;=L_Conversion!$C$122,N250&lt;=L_Conversion!$D$122),"-",
IF(AND(M250="06",N250&gt;=L_Conversion!$C$123,N250&lt;=L_Conversion!$D$123),"-",
IF(AND(M250="07",N250&gt;=L_Conversion!$C$124,N250&lt;=L_Conversion!$D$124),"-",
IF(AND(M250="08",N250&gt;=L_Conversion!$C$125,N250&lt;=L_Conversion!$D$125),"-",
IF(AND(M250="09",N250&gt;=L_Conversion!$C$126,N250&lt;=L_Conversion!$D$126),"-",
IF(AND(M250="10",N250&gt;=L_Conversion!$C$127,N250&lt;=L_Conversion!$D$127),"-",
IF(AND(M250="11",N250&gt;=L_Conversion!$C$128,N250&lt;=L_Conversion!$D$128),"-",
IF(AND(M250="12",N250&gt;=L_Conversion!$C$129,N250&lt;=L_Conversion!$D$129),"-",
IF(AND(M250="13",N250&gt;=L_Conversion!$C$116,N250&lt;=L_Conversion!$D$116),"-",
IF(AND(M250="14",N250&gt;=L_Conversion!$C$117,N250&lt;=L_Conversion!$D$117),"-",
"PRIMER_DIA fuera de rango")))))))))))))))</f>
        <v>-</v>
      </c>
      <c r="AS250" s="86" t="str">
        <f t="shared" si="121"/>
        <v>-</v>
      </c>
      <c r="AT250" s="86" t="str">
        <f t="shared" si="122"/>
        <v>-</v>
      </c>
      <c r="AU250" s="86" t="str">
        <f t="shared" si="123"/>
        <v>-</v>
      </c>
      <c r="AV250" s="86" t="str">
        <f t="shared" si="124"/>
        <v>-</v>
      </c>
      <c r="AW250" s="86" t="str">
        <f t="shared" si="125"/>
        <v>-</v>
      </c>
      <c r="AX250" s="86" t="str">
        <f t="shared" si="126"/>
        <v>-</v>
      </c>
      <c r="AY250" s="86" t="str">
        <f t="shared" si="127"/>
        <v>-</v>
      </c>
      <c r="AZ250" s="86" t="str">
        <f t="shared" si="128"/>
        <v>-</v>
      </c>
      <c r="BA250" s="86" t="str">
        <f t="shared" si="129"/>
        <v>-</v>
      </c>
      <c r="BB250" s="86" t="str">
        <f t="shared" si="130"/>
        <v>-</v>
      </c>
      <c r="BC250" s="86" t="str">
        <f t="shared" si="131"/>
        <v>-</v>
      </c>
      <c r="BD250" s="86" t="str">
        <f t="shared" si="132"/>
        <v>-</v>
      </c>
      <c r="BE250" s="86" t="str">
        <f t="shared" si="133"/>
        <v>-</v>
      </c>
      <c r="BF250" s="86" t="str">
        <f t="shared" si="134"/>
        <v>-</v>
      </c>
    </row>
    <row r="251" spans="1:58" x14ac:dyDescent="0.2">
      <c r="A251" s="19" t="s">
        <v>1144</v>
      </c>
      <c r="B251" s="19" t="s">
        <v>886</v>
      </c>
      <c r="C251" s="19">
        <v>18502227</v>
      </c>
      <c r="D251" s="81">
        <v>7</v>
      </c>
      <c r="E251" s="19" t="s">
        <v>1565</v>
      </c>
      <c r="F251" s="19" t="s">
        <v>1566</v>
      </c>
      <c r="G251" s="19" t="s">
        <v>1567</v>
      </c>
      <c r="H251" s="19" t="s">
        <v>1033</v>
      </c>
      <c r="I251" s="19" t="s">
        <v>662</v>
      </c>
      <c r="J251" s="19">
        <v>80</v>
      </c>
      <c r="K251" s="19" t="s">
        <v>563</v>
      </c>
      <c r="L251" s="19" t="s">
        <v>502</v>
      </c>
      <c r="M251" s="19" t="s">
        <v>16</v>
      </c>
      <c r="N251" s="19">
        <v>45721</v>
      </c>
      <c r="O251" s="19">
        <v>3</v>
      </c>
      <c r="P251" s="81">
        <v>1</v>
      </c>
      <c r="Q251" s="19" t="s">
        <v>23</v>
      </c>
      <c r="R251" s="19" t="s">
        <v>11</v>
      </c>
      <c r="S251" s="19" t="s">
        <v>23</v>
      </c>
      <c r="T251" s="19">
        <v>3</v>
      </c>
      <c r="U251" s="19" t="s">
        <v>11</v>
      </c>
      <c r="V251" s="19" t="s">
        <v>19</v>
      </c>
      <c r="W251" s="19" t="s">
        <v>19</v>
      </c>
      <c r="X251" s="19">
        <v>40955</v>
      </c>
      <c r="Y251" s="19" t="s">
        <v>735</v>
      </c>
      <c r="Z251" s="19">
        <v>3</v>
      </c>
      <c r="AA251" s="19">
        <v>40955</v>
      </c>
      <c r="AB251" s="19">
        <v>40955</v>
      </c>
      <c r="AC251" s="178" t="str">
        <f>IF(OR(M251="13",M251="14",P251=8),"",IF(AND(OR(S251="AUTORIZADO", S251="PENDIENTE", S251="REDUCIDO", S251="AMPLIADO"),L251&lt;&gt;"HONORARIO" ), CONCATENATE(IF(H251="X","H",H251),"_",IF(OR(P251=5,P251=6),_xlfn.CONCAT(P251,"A"),P251),"_",VLOOKUP(T251,Datos!$B$2:$C$5,2,TRUE)),""))</f>
        <v>M_1_[hasta 3]</v>
      </c>
      <c r="AD251" s="178">
        <f t="shared" si="108"/>
        <v>81910</v>
      </c>
      <c r="AE251" s="82" t="str">
        <f t="shared" si="109"/>
        <v>-</v>
      </c>
      <c r="AF251" s="83" t="str">
        <f t="shared" si="110"/>
        <v>070606</v>
      </c>
      <c r="AG251" s="84"/>
      <c r="AH251" s="85" t="str">
        <f t="shared" si="111"/>
        <v>Corporación de Fomento de la Producción</v>
      </c>
      <c r="AI251" s="82" t="str">
        <f t="shared" si="112"/>
        <v>-</v>
      </c>
      <c r="AJ251" s="82">
        <f t="shared" si="113"/>
        <v>7</v>
      </c>
      <c r="AK251" s="82" t="str">
        <f t="shared" si="114"/>
        <v>-</v>
      </c>
      <c r="AL251" s="82" t="str">
        <f t="shared" si="115"/>
        <v>Identifica este registro como MUJER</v>
      </c>
      <c r="AM251" s="82" t="str">
        <f t="shared" si="116"/>
        <v>-</v>
      </c>
      <c r="AN251" s="82" t="str">
        <f t="shared" si="117"/>
        <v>-</v>
      </c>
      <c r="AO251" s="82" t="str">
        <f t="shared" si="118"/>
        <v>-</v>
      </c>
      <c r="AP251" s="57" t="str">
        <f t="shared" si="119"/>
        <v>-</v>
      </c>
      <c r="AQ251" s="86" t="str">
        <f t="shared" si="120"/>
        <v>-</v>
      </c>
      <c r="AR251" s="86" t="str">
        <f>IF(N251="","PRIMER_DIA en blanco",
IF(AND(M251="01",N251&gt;=L_Conversion!$C$118,N251&lt;=L_Conversion!$D$118),"-",
IF(AND(M251="02",N251&gt;=L_Conversion!$C$119,N251&lt;=L_Conversion!$D$119),"-",
IF(AND(M251="03",N251&gt;=L_Conversion!$C$120,N251&lt;=L_Conversion!$D$120),"-",
IF(AND(M251="04",N251&gt;=L_Conversion!$C$121,N251&lt;=L_Conversion!$D$121),"-",
IF(AND(M251="05",N251&gt;=L_Conversion!$C$122,N251&lt;=L_Conversion!$D$122),"-",
IF(AND(M251="06",N251&gt;=L_Conversion!$C$123,N251&lt;=L_Conversion!$D$123),"-",
IF(AND(M251="07",N251&gt;=L_Conversion!$C$124,N251&lt;=L_Conversion!$D$124),"-",
IF(AND(M251="08",N251&gt;=L_Conversion!$C$125,N251&lt;=L_Conversion!$D$125),"-",
IF(AND(M251="09",N251&gt;=L_Conversion!$C$126,N251&lt;=L_Conversion!$D$126),"-",
IF(AND(M251="10",N251&gt;=L_Conversion!$C$127,N251&lt;=L_Conversion!$D$127),"-",
IF(AND(M251="11",N251&gt;=L_Conversion!$C$128,N251&lt;=L_Conversion!$D$128),"-",
IF(AND(M251="12",N251&gt;=L_Conversion!$C$129,N251&lt;=L_Conversion!$D$129),"-",
IF(AND(M251="13",N251&gt;=L_Conversion!$C$116,N251&lt;=L_Conversion!$D$116),"-",
IF(AND(M251="14",N251&gt;=L_Conversion!$C$117,N251&lt;=L_Conversion!$D$117),"-",
"PRIMER_DIA fuera de rango")))))))))))))))</f>
        <v>-</v>
      </c>
      <c r="AS251" s="86" t="str">
        <f t="shared" si="121"/>
        <v>-</v>
      </c>
      <c r="AT251" s="86" t="str">
        <f t="shared" si="122"/>
        <v>-</v>
      </c>
      <c r="AU251" s="86" t="str">
        <f t="shared" si="123"/>
        <v>-</v>
      </c>
      <c r="AV251" s="86" t="str">
        <f t="shared" si="124"/>
        <v>-</v>
      </c>
      <c r="AW251" s="86" t="str">
        <f t="shared" si="125"/>
        <v>-</v>
      </c>
      <c r="AX251" s="86" t="str">
        <f t="shared" si="126"/>
        <v>-</v>
      </c>
      <c r="AY251" s="86" t="str">
        <f t="shared" si="127"/>
        <v>-</v>
      </c>
      <c r="AZ251" s="86" t="str">
        <f t="shared" si="128"/>
        <v>-</v>
      </c>
      <c r="BA251" s="86" t="str">
        <f t="shared" si="129"/>
        <v>-</v>
      </c>
      <c r="BB251" s="86" t="str">
        <f t="shared" si="130"/>
        <v>-</v>
      </c>
      <c r="BC251" s="86" t="str">
        <f t="shared" si="131"/>
        <v>-</v>
      </c>
      <c r="BD251" s="86" t="str">
        <f t="shared" si="132"/>
        <v>-</v>
      </c>
      <c r="BE251" s="86" t="str">
        <f t="shared" si="133"/>
        <v>-</v>
      </c>
      <c r="BF251" s="86" t="str">
        <f t="shared" si="134"/>
        <v>-</v>
      </c>
    </row>
    <row r="252" spans="1:58" x14ac:dyDescent="0.2">
      <c r="A252" s="19" t="s">
        <v>1144</v>
      </c>
      <c r="B252" s="19" t="s">
        <v>76</v>
      </c>
      <c r="C252" s="19">
        <v>12586334</v>
      </c>
      <c r="D252" s="81">
        <v>5</v>
      </c>
      <c r="E252" s="19" t="s">
        <v>1161</v>
      </c>
      <c r="F252" s="19" t="s">
        <v>1154</v>
      </c>
      <c r="G252" s="19" t="s">
        <v>1568</v>
      </c>
      <c r="H252" s="19" t="s">
        <v>663</v>
      </c>
      <c r="I252" s="19" t="s">
        <v>662</v>
      </c>
      <c r="J252" s="19">
        <v>80</v>
      </c>
      <c r="K252" s="19" t="s">
        <v>563</v>
      </c>
      <c r="L252" s="19" t="s">
        <v>502</v>
      </c>
      <c r="M252" s="19" t="s">
        <v>16</v>
      </c>
      <c r="N252" s="19">
        <v>45722</v>
      </c>
      <c r="O252" s="19">
        <v>11</v>
      </c>
      <c r="P252" s="81">
        <v>1</v>
      </c>
      <c r="Q252" s="19" t="s">
        <v>23</v>
      </c>
      <c r="R252" s="19" t="s">
        <v>11</v>
      </c>
      <c r="S252" s="19" t="s">
        <v>23</v>
      </c>
      <c r="T252" s="19">
        <v>11</v>
      </c>
      <c r="U252" s="19" t="s">
        <v>11</v>
      </c>
      <c r="V252" s="19" t="s">
        <v>11</v>
      </c>
      <c r="W252" s="19" t="s">
        <v>19</v>
      </c>
      <c r="X252" s="19">
        <v>1160049</v>
      </c>
      <c r="Y252" s="19" t="s">
        <v>735</v>
      </c>
      <c r="Z252" s="19">
        <v>11</v>
      </c>
      <c r="AA252" s="19">
        <v>1160049</v>
      </c>
      <c r="AB252" s="19">
        <v>1160049</v>
      </c>
      <c r="AC252" s="178" t="str">
        <f>IF(OR(M252="13",M252="14",P252=8),"",IF(AND(OR(S252="AUTORIZADO", S252="PENDIENTE", S252="REDUCIDO", S252="AMPLIADO"),L252&lt;&gt;"HONORARIO" ), CONCATENATE(IF(H252="X","H",H252),"_",IF(OR(P252=5,P252=6),_xlfn.CONCAT(P252,"A"),P252),"_",VLOOKUP(T252,Datos!$B$2:$C$5,2,TRUE)),""))</f>
        <v>H_1_[11 +]</v>
      </c>
      <c r="AD252" s="178">
        <f t="shared" si="108"/>
        <v>2320098</v>
      </c>
      <c r="AE252" s="82" t="str">
        <f t="shared" si="109"/>
        <v>-</v>
      </c>
      <c r="AF252" s="83" t="str">
        <f t="shared" si="110"/>
        <v>070601</v>
      </c>
      <c r="AG252" s="84"/>
      <c r="AH252" s="85" t="str">
        <f t="shared" si="111"/>
        <v>Corporación de Fomento de la Producción</v>
      </c>
      <c r="AI252" s="82" t="str">
        <f t="shared" si="112"/>
        <v>-</v>
      </c>
      <c r="AJ252" s="82">
        <f t="shared" si="113"/>
        <v>5</v>
      </c>
      <c r="AK252" s="82" t="str">
        <f t="shared" si="114"/>
        <v>-</v>
      </c>
      <c r="AL252" s="82" t="str">
        <f t="shared" si="115"/>
        <v>Identifica este registro como HOMBRE</v>
      </c>
      <c r="AM252" s="82" t="str">
        <f t="shared" si="116"/>
        <v>-</v>
      </c>
      <c r="AN252" s="82" t="str">
        <f t="shared" si="117"/>
        <v>-</v>
      </c>
      <c r="AO252" s="82" t="str">
        <f t="shared" si="118"/>
        <v>-</v>
      </c>
      <c r="AP252" s="57" t="str">
        <f t="shared" si="119"/>
        <v>-</v>
      </c>
      <c r="AQ252" s="86" t="str">
        <f t="shared" si="120"/>
        <v>-</v>
      </c>
      <c r="AR252" s="86" t="str">
        <f>IF(N252="","PRIMER_DIA en blanco",
IF(AND(M252="01",N252&gt;=L_Conversion!$C$118,N252&lt;=L_Conversion!$D$118),"-",
IF(AND(M252="02",N252&gt;=L_Conversion!$C$119,N252&lt;=L_Conversion!$D$119),"-",
IF(AND(M252="03",N252&gt;=L_Conversion!$C$120,N252&lt;=L_Conversion!$D$120),"-",
IF(AND(M252="04",N252&gt;=L_Conversion!$C$121,N252&lt;=L_Conversion!$D$121),"-",
IF(AND(M252="05",N252&gt;=L_Conversion!$C$122,N252&lt;=L_Conversion!$D$122),"-",
IF(AND(M252="06",N252&gt;=L_Conversion!$C$123,N252&lt;=L_Conversion!$D$123),"-",
IF(AND(M252="07",N252&gt;=L_Conversion!$C$124,N252&lt;=L_Conversion!$D$124),"-",
IF(AND(M252="08",N252&gt;=L_Conversion!$C$125,N252&lt;=L_Conversion!$D$125),"-",
IF(AND(M252="09",N252&gt;=L_Conversion!$C$126,N252&lt;=L_Conversion!$D$126),"-",
IF(AND(M252="10",N252&gt;=L_Conversion!$C$127,N252&lt;=L_Conversion!$D$127),"-",
IF(AND(M252="11",N252&gt;=L_Conversion!$C$128,N252&lt;=L_Conversion!$D$128),"-",
IF(AND(M252="12",N252&gt;=L_Conversion!$C$129,N252&lt;=L_Conversion!$D$129),"-",
IF(AND(M252="13",N252&gt;=L_Conversion!$C$116,N252&lt;=L_Conversion!$D$116),"-",
IF(AND(M252="14",N252&gt;=L_Conversion!$C$117,N252&lt;=L_Conversion!$D$117),"-",
"PRIMER_DIA fuera de rango")))))))))))))))</f>
        <v>-</v>
      </c>
      <c r="AS252" s="86" t="str">
        <f t="shared" si="121"/>
        <v>-</v>
      </c>
      <c r="AT252" s="86" t="str">
        <f t="shared" si="122"/>
        <v>-</v>
      </c>
      <c r="AU252" s="86" t="str">
        <f t="shared" si="123"/>
        <v>-</v>
      </c>
      <c r="AV252" s="86" t="str">
        <f t="shared" si="124"/>
        <v>-</v>
      </c>
      <c r="AW252" s="86" t="str">
        <f t="shared" si="125"/>
        <v>-</v>
      </c>
      <c r="AX252" s="86" t="str">
        <f t="shared" si="126"/>
        <v>-</v>
      </c>
      <c r="AY252" s="86" t="str">
        <f t="shared" si="127"/>
        <v>-</v>
      </c>
      <c r="AZ252" s="86" t="str">
        <f t="shared" si="128"/>
        <v>-</v>
      </c>
      <c r="BA252" s="86" t="str">
        <f t="shared" si="129"/>
        <v>-</v>
      </c>
      <c r="BB252" s="86" t="str">
        <f t="shared" si="130"/>
        <v>-</v>
      </c>
      <c r="BC252" s="86" t="str">
        <f t="shared" si="131"/>
        <v>-</v>
      </c>
      <c r="BD252" s="86" t="str">
        <f t="shared" si="132"/>
        <v>-</v>
      </c>
      <c r="BE252" s="86" t="str">
        <f t="shared" si="133"/>
        <v>-</v>
      </c>
      <c r="BF252" s="86" t="str">
        <f t="shared" si="134"/>
        <v>-</v>
      </c>
    </row>
    <row r="253" spans="1:58" x14ac:dyDescent="0.2">
      <c r="A253" s="19" t="s">
        <v>1144</v>
      </c>
      <c r="B253" s="19" t="s">
        <v>76</v>
      </c>
      <c r="C253" s="19">
        <v>13545055</v>
      </c>
      <c r="D253" s="81">
        <v>3</v>
      </c>
      <c r="E253" s="19" t="s">
        <v>1406</v>
      </c>
      <c r="F253" s="19" t="s">
        <v>1407</v>
      </c>
      <c r="G253" s="19" t="s">
        <v>1408</v>
      </c>
      <c r="H253" s="19" t="s">
        <v>1033</v>
      </c>
      <c r="I253" s="19" t="s">
        <v>662</v>
      </c>
      <c r="J253" s="19">
        <v>80</v>
      </c>
      <c r="K253" s="19" t="s">
        <v>561</v>
      </c>
      <c r="L253" s="19" t="s">
        <v>502</v>
      </c>
      <c r="M253" s="19" t="s">
        <v>16</v>
      </c>
      <c r="N253" s="19">
        <v>45722</v>
      </c>
      <c r="O253" s="19">
        <v>30</v>
      </c>
      <c r="P253" s="81">
        <v>1</v>
      </c>
      <c r="Q253" s="19" t="s">
        <v>23</v>
      </c>
      <c r="R253" s="19" t="s">
        <v>11</v>
      </c>
      <c r="S253" s="19" t="s">
        <v>23</v>
      </c>
      <c r="T253" s="19">
        <v>30</v>
      </c>
      <c r="U253" s="19" t="s">
        <v>11</v>
      </c>
      <c r="V253" s="19" t="s">
        <v>11</v>
      </c>
      <c r="W253" s="19" t="s">
        <v>19</v>
      </c>
      <c r="X253" s="19">
        <v>2430679</v>
      </c>
      <c r="Y253" s="19" t="s">
        <v>735</v>
      </c>
      <c r="Z253" s="19">
        <v>30</v>
      </c>
      <c r="AA253" s="19">
        <v>2430679</v>
      </c>
      <c r="AB253" s="19">
        <v>2430679</v>
      </c>
      <c r="AC253" s="178" t="str">
        <f>IF(OR(M253="13",M253="14",P253=8),"",IF(AND(OR(S253="AUTORIZADO", S253="PENDIENTE", S253="REDUCIDO", S253="AMPLIADO"),L253&lt;&gt;"HONORARIO" ), CONCATENATE(IF(H253="X","H",H253),"_",IF(OR(P253=5,P253=6),_xlfn.CONCAT(P253,"A"),P253),"_",VLOOKUP(T253,Datos!$B$2:$C$5,2,TRUE)),""))</f>
        <v>M_1_[11 +]</v>
      </c>
      <c r="AD253" s="178">
        <f t="shared" si="108"/>
        <v>4861358</v>
      </c>
      <c r="AE253" s="82" t="str">
        <f t="shared" si="109"/>
        <v>-</v>
      </c>
      <c r="AF253" s="83" t="str">
        <f t="shared" si="110"/>
        <v>070601</v>
      </c>
      <c r="AG253" s="84"/>
      <c r="AH253" s="85" t="str">
        <f t="shared" si="111"/>
        <v>Corporación de Fomento de la Producción</v>
      </c>
      <c r="AI253" s="82" t="str">
        <f t="shared" si="112"/>
        <v>-</v>
      </c>
      <c r="AJ253" s="82">
        <f t="shared" si="113"/>
        <v>3</v>
      </c>
      <c r="AK253" s="82" t="str">
        <f t="shared" si="114"/>
        <v>-</v>
      </c>
      <c r="AL253" s="82" t="str">
        <f t="shared" si="115"/>
        <v>Identifica este registro como MUJER</v>
      </c>
      <c r="AM253" s="82" t="str">
        <f t="shared" si="116"/>
        <v>-</v>
      </c>
      <c r="AN253" s="82" t="str">
        <f t="shared" si="117"/>
        <v>-</v>
      </c>
      <c r="AO253" s="82" t="str">
        <f t="shared" si="118"/>
        <v>-</v>
      </c>
      <c r="AP253" s="57" t="str">
        <f t="shared" si="119"/>
        <v>-</v>
      </c>
      <c r="AQ253" s="86" t="str">
        <f t="shared" si="120"/>
        <v>-</v>
      </c>
      <c r="AR253" s="86" t="str">
        <f>IF(N253="","PRIMER_DIA en blanco",
IF(AND(M253="01",N253&gt;=L_Conversion!$C$118,N253&lt;=L_Conversion!$D$118),"-",
IF(AND(M253="02",N253&gt;=L_Conversion!$C$119,N253&lt;=L_Conversion!$D$119),"-",
IF(AND(M253="03",N253&gt;=L_Conversion!$C$120,N253&lt;=L_Conversion!$D$120),"-",
IF(AND(M253="04",N253&gt;=L_Conversion!$C$121,N253&lt;=L_Conversion!$D$121),"-",
IF(AND(M253="05",N253&gt;=L_Conversion!$C$122,N253&lt;=L_Conversion!$D$122),"-",
IF(AND(M253="06",N253&gt;=L_Conversion!$C$123,N253&lt;=L_Conversion!$D$123),"-",
IF(AND(M253="07",N253&gt;=L_Conversion!$C$124,N253&lt;=L_Conversion!$D$124),"-",
IF(AND(M253="08",N253&gt;=L_Conversion!$C$125,N253&lt;=L_Conversion!$D$125),"-",
IF(AND(M253="09",N253&gt;=L_Conversion!$C$126,N253&lt;=L_Conversion!$D$126),"-",
IF(AND(M253="10",N253&gt;=L_Conversion!$C$127,N253&lt;=L_Conversion!$D$127),"-",
IF(AND(M253="11",N253&gt;=L_Conversion!$C$128,N253&lt;=L_Conversion!$D$128),"-",
IF(AND(M253="12",N253&gt;=L_Conversion!$C$129,N253&lt;=L_Conversion!$D$129),"-",
IF(AND(M253="13",N253&gt;=L_Conversion!$C$116,N253&lt;=L_Conversion!$D$116),"-",
IF(AND(M253="14",N253&gt;=L_Conversion!$C$117,N253&lt;=L_Conversion!$D$117),"-",
"PRIMER_DIA fuera de rango")))))))))))))))</f>
        <v>-</v>
      </c>
      <c r="AS253" s="86" t="str">
        <f t="shared" si="121"/>
        <v>-</v>
      </c>
      <c r="AT253" s="86" t="str">
        <f t="shared" si="122"/>
        <v>-</v>
      </c>
      <c r="AU253" s="86" t="str">
        <f t="shared" si="123"/>
        <v>-</v>
      </c>
      <c r="AV253" s="86" t="str">
        <f t="shared" si="124"/>
        <v>-</v>
      </c>
      <c r="AW253" s="86" t="str">
        <f t="shared" si="125"/>
        <v>-</v>
      </c>
      <c r="AX253" s="86" t="str">
        <f t="shared" si="126"/>
        <v>-</v>
      </c>
      <c r="AY253" s="86" t="str">
        <f t="shared" si="127"/>
        <v>-</v>
      </c>
      <c r="AZ253" s="86" t="str">
        <f t="shared" si="128"/>
        <v>-</v>
      </c>
      <c r="BA253" s="86" t="str">
        <f t="shared" si="129"/>
        <v>-</v>
      </c>
      <c r="BB253" s="86" t="str">
        <f t="shared" si="130"/>
        <v>-</v>
      </c>
      <c r="BC253" s="86" t="str">
        <f t="shared" si="131"/>
        <v>-</v>
      </c>
      <c r="BD253" s="86" t="str">
        <f t="shared" si="132"/>
        <v>-</v>
      </c>
      <c r="BE253" s="86" t="str">
        <f t="shared" si="133"/>
        <v>-</v>
      </c>
      <c r="BF253" s="86" t="str">
        <f t="shared" si="134"/>
        <v>-</v>
      </c>
    </row>
    <row r="254" spans="1:58" x14ac:dyDescent="0.2">
      <c r="A254" s="19" t="s">
        <v>1144</v>
      </c>
      <c r="B254" s="19" t="s">
        <v>76</v>
      </c>
      <c r="C254" s="19">
        <v>14372515</v>
      </c>
      <c r="D254" s="81">
        <v>4</v>
      </c>
      <c r="E254" s="19" t="s">
        <v>1569</v>
      </c>
      <c r="F254" s="19" t="s">
        <v>1156</v>
      </c>
      <c r="G254" s="19" t="s">
        <v>1570</v>
      </c>
      <c r="H254" s="19" t="s">
        <v>663</v>
      </c>
      <c r="I254" s="19" t="s">
        <v>662</v>
      </c>
      <c r="J254" s="19">
        <v>80</v>
      </c>
      <c r="K254" s="19" t="s">
        <v>563</v>
      </c>
      <c r="L254" s="19" t="s">
        <v>502</v>
      </c>
      <c r="M254" s="19" t="s">
        <v>16</v>
      </c>
      <c r="N254" s="19">
        <v>45722</v>
      </c>
      <c r="O254" s="19">
        <v>2</v>
      </c>
      <c r="P254" s="81">
        <v>1</v>
      </c>
      <c r="Q254" s="19" t="s">
        <v>23</v>
      </c>
      <c r="R254" s="19" t="s">
        <v>11</v>
      </c>
      <c r="S254" s="19" t="s">
        <v>23</v>
      </c>
      <c r="T254" s="19">
        <v>2</v>
      </c>
      <c r="U254" s="19" t="s">
        <v>11</v>
      </c>
      <c r="V254" s="19" t="s">
        <v>19</v>
      </c>
      <c r="W254" s="19" t="s">
        <v>19</v>
      </c>
      <c r="X254" s="19">
        <v>45026</v>
      </c>
      <c r="Y254" s="19" t="s">
        <v>735</v>
      </c>
      <c r="Z254" s="19">
        <v>2</v>
      </c>
      <c r="AA254" s="19">
        <v>45026</v>
      </c>
      <c r="AB254" s="19">
        <v>45026</v>
      </c>
      <c r="AC254" s="178" t="str">
        <f>IF(OR(M254="13",M254="14",P254=8),"",IF(AND(OR(S254="AUTORIZADO", S254="PENDIENTE", S254="REDUCIDO", S254="AMPLIADO"),L254&lt;&gt;"HONORARIO" ), CONCATENATE(IF(H254="X","H",H254),"_",IF(OR(P254=5,P254=6),_xlfn.CONCAT(P254,"A"),P254),"_",VLOOKUP(T254,Datos!$B$2:$C$5,2,TRUE)),""))</f>
        <v>H_1_[hasta 3]</v>
      </c>
      <c r="AD254" s="178">
        <f t="shared" si="108"/>
        <v>90052</v>
      </c>
      <c r="AE254" s="82" t="str">
        <f t="shared" si="109"/>
        <v>-</v>
      </c>
      <c r="AF254" s="83" t="str">
        <f t="shared" si="110"/>
        <v>070601</v>
      </c>
      <c r="AG254" s="84"/>
      <c r="AH254" s="85" t="str">
        <f t="shared" si="111"/>
        <v>Corporación de Fomento de la Producción</v>
      </c>
      <c r="AI254" s="82" t="str">
        <f t="shared" si="112"/>
        <v>-</v>
      </c>
      <c r="AJ254" s="82">
        <f t="shared" si="113"/>
        <v>4</v>
      </c>
      <c r="AK254" s="82" t="str">
        <f t="shared" si="114"/>
        <v>-</v>
      </c>
      <c r="AL254" s="82" t="str">
        <f t="shared" si="115"/>
        <v>Identifica este registro como HOMBRE</v>
      </c>
      <c r="AM254" s="82" t="str">
        <f t="shared" si="116"/>
        <v>-</v>
      </c>
      <c r="AN254" s="82" t="str">
        <f t="shared" si="117"/>
        <v>-</v>
      </c>
      <c r="AO254" s="82" t="str">
        <f t="shared" si="118"/>
        <v>-</v>
      </c>
      <c r="AP254" s="57" t="str">
        <f t="shared" si="119"/>
        <v>-</v>
      </c>
      <c r="AQ254" s="86" t="str">
        <f t="shared" si="120"/>
        <v>-</v>
      </c>
      <c r="AR254" s="86" t="str">
        <f>IF(N254="","PRIMER_DIA en blanco",
IF(AND(M254="01",N254&gt;=L_Conversion!$C$118,N254&lt;=L_Conversion!$D$118),"-",
IF(AND(M254="02",N254&gt;=L_Conversion!$C$119,N254&lt;=L_Conversion!$D$119),"-",
IF(AND(M254="03",N254&gt;=L_Conversion!$C$120,N254&lt;=L_Conversion!$D$120),"-",
IF(AND(M254="04",N254&gt;=L_Conversion!$C$121,N254&lt;=L_Conversion!$D$121),"-",
IF(AND(M254="05",N254&gt;=L_Conversion!$C$122,N254&lt;=L_Conversion!$D$122),"-",
IF(AND(M254="06",N254&gt;=L_Conversion!$C$123,N254&lt;=L_Conversion!$D$123),"-",
IF(AND(M254="07",N254&gt;=L_Conversion!$C$124,N254&lt;=L_Conversion!$D$124),"-",
IF(AND(M254="08",N254&gt;=L_Conversion!$C$125,N254&lt;=L_Conversion!$D$125),"-",
IF(AND(M254="09",N254&gt;=L_Conversion!$C$126,N254&lt;=L_Conversion!$D$126),"-",
IF(AND(M254="10",N254&gt;=L_Conversion!$C$127,N254&lt;=L_Conversion!$D$127),"-",
IF(AND(M254="11",N254&gt;=L_Conversion!$C$128,N254&lt;=L_Conversion!$D$128),"-",
IF(AND(M254="12",N254&gt;=L_Conversion!$C$129,N254&lt;=L_Conversion!$D$129),"-",
IF(AND(M254="13",N254&gt;=L_Conversion!$C$116,N254&lt;=L_Conversion!$D$116),"-",
IF(AND(M254="14",N254&gt;=L_Conversion!$C$117,N254&lt;=L_Conversion!$D$117),"-",
"PRIMER_DIA fuera de rango")))))))))))))))</f>
        <v>-</v>
      </c>
      <c r="AS254" s="86" t="str">
        <f t="shared" si="121"/>
        <v>-</v>
      </c>
      <c r="AT254" s="86" t="str">
        <f t="shared" si="122"/>
        <v>-</v>
      </c>
      <c r="AU254" s="86" t="str">
        <f t="shared" si="123"/>
        <v>-</v>
      </c>
      <c r="AV254" s="86" t="str">
        <f t="shared" si="124"/>
        <v>-</v>
      </c>
      <c r="AW254" s="86" t="str">
        <f t="shared" si="125"/>
        <v>-</v>
      </c>
      <c r="AX254" s="86" t="str">
        <f t="shared" si="126"/>
        <v>-</v>
      </c>
      <c r="AY254" s="86" t="str">
        <f t="shared" si="127"/>
        <v>-</v>
      </c>
      <c r="AZ254" s="86" t="str">
        <f t="shared" si="128"/>
        <v>-</v>
      </c>
      <c r="BA254" s="86" t="str">
        <f t="shared" si="129"/>
        <v>-</v>
      </c>
      <c r="BB254" s="86" t="str">
        <f t="shared" si="130"/>
        <v>-</v>
      </c>
      <c r="BC254" s="86" t="str">
        <f t="shared" si="131"/>
        <v>-</v>
      </c>
      <c r="BD254" s="86" t="str">
        <f t="shared" si="132"/>
        <v>-</v>
      </c>
      <c r="BE254" s="86" t="str">
        <f t="shared" si="133"/>
        <v>-</v>
      </c>
      <c r="BF254" s="86" t="str">
        <f t="shared" si="134"/>
        <v>-</v>
      </c>
    </row>
    <row r="255" spans="1:58" x14ac:dyDescent="0.2">
      <c r="A255" s="19" t="s">
        <v>1144</v>
      </c>
      <c r="B255" s="19" t="s">
        <v>76</v>
      </c>
      <c r="C255" s="19">
        <v>12850773</v>
      </c>
      <c r="D255" s="81">
        <v>6</v>
      </c>
      <c r="E255" s="19" t="s">
        <v>1245</v>
      </c>
      <c r="F255" s="19" t="s">
        <v>1182</v>
      </c>
      <c r="G255" s="19" t="s">
        <v>1571</v>
      </c>
      <c r="H255" s="19" t="s">
        <v>1033</v>
      </c>
      <c r="I255" s="19" t="s">
        <v>662</v>
      </c>
      <c r="J255" s="19">
        <v>80</v>
      </c>
      <c r="K255" s="19" t="s">
        <v>563</v>
      </c>
      <c r="L255" s="19" t="s">
        <v>502</v>
      </c>
      <c r="M255" s="19" t="s">
        <v>16</v>
      </c>
      <c r="N255" s="19">
        <v>45722</v>
      </c>
      <c r="O255" s="19">
        <v>1</v>
      </c>
      <c r="P255" s="81">
        <v>1</v>
      </c>
      <c r="Q255" s="19" t="s">
        <v>23</v>
      </c>
      <c r="R255" s="19" t="s">
        <v>11</v>
      </c>
      <c r="S255" s="19" t="s">
        <v>23</v>
      </c>
      <c r="T255" s="19">
        <v>1</v>
      </c>
      <c r="U255" s="19" t="s">
        <v>11</v>
      </c>
      <c r="V255" s="19" t="s">
        <v>19</v>
      </c>
      <c r="W255" s="19" t="s">
        <v>19</v>
      </c>
      <c r="X255" s="19">
        <v>21289</v>
      </c>
      <c r="Y255" s="19" t="s">
        <v>735</v>
      </c>
      <c r="Z255" s="19">
        <v>1</v>
      </c>
      <c r="AA255" s="19">
        <v>21289</v>
      </c>
      <c r="AB255" s="19">
        <v>21289</v>
      </c>
      <c r="AC255" s="178" t="str">
        <f>IF(OR(M255="13",M255="14",P255=8),"",IF(AND(OR(S255="AUTORIZADO", S255="PENDIENTE", S255="REDUCIDO", S255="AMPLIADO"),L255&lt;&gt;"HONORARIO" ), CONCATENATE(IF(H255="X","H",H255),"_",IF(OR(P255=5,P255=6),_xlfn.CONCAT(P255,"A"),P255),"_",VLOOKUP(T255,Datos!$B$2:$C$5,2,TRUE)),""))</f>
        <v>M_1_[hasta 3]</v>
      </c>
      <c r="AD255" s="178">
        <f t="shared" si="108"/>
        <v>42578</v>
      </c>
      <c r="AE255" s="82" t="str">
        <f t="shared" si="109"/>
        <v>-</v>
      </c>
      <c r="AF255" s="83" t="str">
        <f t="shared" si="110"/>
        <v>070601</v>
      </c>
      <c r="AG255" s="84"/>
      <c r="AH255" s="85" t="str">
        <f t="shared" si="111"/>
        <v>Corporación de Fomento de la Producción</v>
      </c>
      <c r="AI255" s="82" t="str">
        <f t="shared" si="112"/>
        <v>-</v>
      </c>
      <c r="AJ255" s="82">
        <f t="shared" si="113"/>
        <v>6</v>
      </c>
      <c r="AK255" s="82" t="str">
        <f t="shared" si="114"/>
        <v>-</v>
      </c>
      <c r="AL255" s="82" t="str">
        <f t="shared" si="115"/>
        <v>Identifica este registro como MUJER</v>
      </c>
      <c r="AM255" s="82" t="str">
        <f t="shared" si="116"/>
        <v>-</v>
      </c>
      <c r="AN255" s="82" t="str">
        <f t="shared" si="117"/>
        <v>-</v>
      </c>
      <c r="AO255" s="82" t="str">
        <f t="shared" si="118"/>
        <v>-</v>
      </c>
      <c r="AP255" s="57" t="str">
        <f t="shared" si="119"/>
        <v>-</v>
      </c>
      <c r="AQ255" s="86" t="str">
        <f t="shared" si="120"/>
        <v>-</v>
      </c>
      <c r="AR255" s="86" t="str">
        <f>IF(N255="","PRIMER_DIA en blanco",
IF(AND(M255="01",N255&gt;=L_Conversion!$C$118,N255&lt;=L_Conversion!$D$118),"-",
IF(AND(M255="02",N255&gt;=L_Conversion!$C$119,N255&lt;=L_Conversion!$D$119),"-",
IF(AND(M255="03",N255&gt;=L_Conversion!$C$120,N255&lt;=L_Conversion!$D$120),"-",
IF(AND(M255="04",N255&gt;=L_Conversion!$C$121,N255&lt;=L_Conversion!$D$121),"-",
IF(AND(M255="05",N255&gt;=L_Conversion!$C$122,N255&lt;=L_Conversion!$D$122),"-",
IF(AND(M255="06",N255&gt;=L_Conversion!$C$123,N255&lt;=L_Conversion!$D$123),"-",
IF(AND(M255="07",N255&gt;=L_Conversion!$C$124,N255&lt;=L_Conversion!$D$124),"-",
IF(AND(M255="08",N255&gt;=L_Conversion!$C$125,N255&lt;=L_Conversion!$D$125),"-",
IF(AND(M255="09",N255&gt;=L_Conversion!$C$126,N255&lt;=L_Conversion!$D$126),"-",
IF(AND(M255="10",N255&gt;=L_Conversion!$C$127,N255&lt;=L_Conversion!$D$127),"-",
IF(AND(M255="11",N255&gt;=L_Conversion!$C$128,N255&lt;=L_Conversion!$D$128),"-",
IF(AND(M255="12",N255&gt;=L_Conversion!$C$129,N255&lt;=L_Conversion!$D$129),"-",
IF(AND(M255="13",N255&gt;=L_Conversion!$C$116,N255&lt;=L_Conversion!$D$116),"-",
IF(AND(M255="14",N255&gt;=L_Conversion!$C$117,N255&lt;=L_Conversion!$D$117),"-",
"PRIMER_DIA fuera de rango")))))))))))))))</f>
        <v>-</v>
      </c>
      <c r="AS255" s="86" t="str">
        <f t="shared" si="121"/>
        <v>-</v>
      </c>
      <c r="AT255" s="86" t="str">
        <f t="shared" si="122"/>
        <v>-</v>
      </c>
      <c r="AU255" s="86" t="str">
        <f t="shared" si="123"/>
        <v>-</v>
      </c>
      <c r="AV255" s="86" t="str">
        <f t="shared" si="124"/>
        <v>-</v>
      </c>
      <c r="AW255" s="86" t="str">
        <f t="shared" si="125"/>
        <v>-</v>
      </c>
      <c r="AX255" s="86" t="str">
        <f t="shared" si="126"/>
        <v>-</v>
      </c>
      <c r="AY255" s="86" t="str">
        <f t="shared" si="127"/>
        <v>-</v>
      </c>
      <c r="AZ255" s="86" t="str">
        <f t="shared" si="128"/>
        <v>-</v>
      </c>
      <c r="BA255" s="86" t="str">
        <f t="shared" si="129"/>
        <v>-</v>
      </c>
      <c r="BB255" s="86" t="str">
        <f t="shared" si="130"/>
        <v>-</v>
      </c>
      <c r="BC255" s="86" t="str">
        <f t="shared" si="131"/>
        <v>-</v>
      </c>
      <c r="BD255" s="86" t="str">
        <f t="shared" si="132"/>
        <v>-</v>
      </c>
      <c r="BE255" s="86" t="str">
        <f t="shared" si="133"/>
        <v>-</v>
      </c>
      <c r="BF255" s="86" t="str">
        <f t="shared" si="134"/>
        <v>-</v>
      </c>
    </row>
    <row r="256" spans="1:58" x14ac:dyDescent="0.2">
      <c r="A256" s="19" t="s">
        <v>1144</v>
      </c>
      <c r="B256" s="19" t="s">
        <v>76</v>
      </c>
      <c r="C256" s="19">
        <v>17063928</v>
      </c>
      <c r="D256" s="81">
        <v>6</v>
      </c>
      <c r="E256" s="19" t="s">
        <v>1572</v>
      </c>
      <c r="F256" s="19" t="s">
        <v>1182</v>
      </c>
      <c r="G256" s="19" t="s">
        <v>1573</v>
      </c>
      <c r="H256" s="19" t="s">
        <v>1033</v>
      </c>
      <c r="I256" s="19" t="s">
        <v>662</v>
      </c>
      <c r="J256" s="19">
        <v>80</v>
      </c>
      <c r="K256" s="19" t="s">
        <v>567</v>
      </c>
      <c r="L256" s="19" t="s">
        <v>502</v>
      </c>
      <c r="M256" s="19" t="s">
        <v>16</v>
      </c>
      <c r="N256" s="19">
        <v>45722</v>
      </c>
      <c r="O256" s="19">
        <v>1</v>
      </c>
      <c r="P256" s="81">
        <v>1</v>
      </c>
      <c r="Q256" s="19" t="s">
        <v>23</v>
      </c>
      <c r="R256" s="19" t="s">
        <v>11</v>
      </c>
      <c r="S256" s="19" t="s">
        <v>23</v>
      </c>
      <c r="T256" s="19">
        <v>1</v>
      </c>
      <c r="U256" s="19" t="s">
        <v>11</v>
      </c>
      <c r="V256" s="19" t="s">
        <v>19</v>
      </c>
      <c r="W256" s="19" t="s">
        <v>19</v>
      </c>
      <c r="X256" s="19">
        <v>38504</v>
      </c>
      <c r="Y256" s="19" t="s">
        <v>735</v>
      </c>
      <c r="Z256" s="19">
        <v>1</v>
      </c>
      <c r="AA256" s="19">
        <v>38504</v>
      </c>
      <c r="AB256" s="19">
        <v>38504</v>
      </c>
      <c r="AC256" s="178" t="str">
        <f>IF(OR(M256="13",M256="14",P256=8),"",IF(AND(OR(S256="AUTORIZADO", S256="PENDIENTE", S256="REDUCIDO", S256="AMPLIADO"),L256&lt;&gt;"HONORARIO" ), CONCATENATE(IF(H256="X","H",H256),"_",IF(OR(P256=5,P256=6),_xlfn.CONCAT(P256,"A"),P256),"_",VLOOKUP(T256,Datos!$B$2:$C$5,2,TRUE)),""))</f>
        <v>M_1_[hasta 3]</v>
      </c>
      <c r="AD256" s="178">
        <f t="shared" si="108"/>
        <v>77008</v>
      </c>
      <c r="AE256" s="82" t="str">
        <f t="shared" si="109"/>
        <v>-</v>
      </c>
      <c r="AF256" s="83" t="str">
        <f t="shared" si="110"/>
        <v>070601</v>
      </c>
      <c r="AG256" s="84"/>
      <c r="AH256" s="85" t="str">
        <f t="shared" si="111"/>
        <v>Corporación de Fomento de la Producción</v>
      </c>
      <c r="AI256" s="82" t="str">
        <f t="shared" si="112"/>
        <v>-</v>
      </c>
      <c r="AJ256" s="82">
        <f t="shared" si="113"/>
        <v>6</v>
      </c>
      <c r="AK256" s="82" t="str">
        <f t="shared" si="114"/>
        <v>-</v>
      </c>
      <c r="AL256" s="82" t="str">
        <f t="shared" si="115"/>
        <v>Identifica este registro como MUJER</v>
      </c>
      <c r="AM256" s="82" t="str">
        <f t="shared" si="116"/>
        <v>-</v>
      </c>
      <c r="AN256" s="82" t="str">
        <f t="shared" si="117"/>
        <v>-</v>
      </c>
      <c r="AO256" s="82" t="str">
        <f t="shared" si="118"/>
        <v>-</v>
      </c>
      <c r="AP256" s="57" t="str">
        <f t="shared" si="119"/>
        <v>-</v>
      </c>
      <c r="AQ256" s="86" t="str">
        <f t="shared" si="120"/>
        <v>-</v>
      </c>
      <c r="AR256" s="86" t="str">
        <f>IF(N256="","PRIMER_DIA en blanco",
IF(AND(M256="01",N256&gt;=L_Conversion!$C$118,N256&lt;=L_Conversion!$D$118),"-",
IF(AND(M256="02",N256&gt;=L_Conversion!$C$119,N256&lt;=L_Conversion!$D$119),"-",
IF(AND(M256="03",N256&gt;=L_Conversion!$C$120,N256&lt;=L_Conversion!$D$120),"-",
IF(AND(M256="04",N256&gt;=L_Conversion!$C$121,N256&lt;=L_Conversion!$D$121),"-",
IF(AND(M256="05",N256&gt;=L_Conversion!$C$122,N256&lt;=L_Conversion!$D$122),"-",
IF(AND(M256="06",N256&gt;=L_Conversion!$C$123,N256&lt;=L_Conversion!$D$123),"-",
IF(AND(M256="07",N256&gt;=L_Conversion!$C$124,N256&lt;=L_Conversion!$D$124),"-",
IF(AND(M256="08",N256&gt;=L_Conversion!$C$125,N256&lt;=L_Conversion!$D$125),"-",
IF(AND(M256="09",N256&gt;=L_Conversion!$C$126,N256&lt;=L_Conversion!$D$126),"-",
IF(AND(M256="10",N256&gt;=L_Conversion!$C$127,N256&lt;=L_Conversion!$D$127),"-",
IF(AND(M256="11",N256&gt;=L_Conversion!$C$128,N256&lt;=L_Conversion!$D$128),"-",
IF(AND(M256="12",N256&gt;=L_Conversion!$C$129,N256&lt;=L_Conversion!$D$129),"-",
IF(AND(M256="13",N256&gt;=L_Conversion!$C$116,N256&lt;=L_Conversion!$D$116),"-",
IF(AND(M256="14",N256&gt;=L_Conversion!$C$117,N256&lt;=L_Conversion!$D$117),"-",
"PRIMER_DIA fuera de rango")))))))))))))))</f>
        <v>-</v>
      </c>
      <c r="AS256" s="86" t="str">
        <f t="shared" si="121"/>
        <v>-</v>
      </c>
      <c r="AT256" s="86" t="str">
        <f t="shared" si="122"/>
        <v>-</v>
      </c>
      <c r="AU256" s="86" t="str">
        <f t="shared" si="123"/>
        <v>-</v>
      </c>
      <c r="AV256" s="86" t="str">
        <f t="shared" si="124"/>
        <v>-</v>
      </c>
      <c r="AW256" s="86" t="str">
        <f t="shared" si="125"/>
        <v>-</v>
      </c>
      <c r="AX256" s="86" t="str">
        <f t="shared" si="126"/>
        <v>-</v>
      </c>
      <c r="AY256" s="86" t="str">
        <f t="shared" si="127"/>
        <v>-</v>
      </c>
      <c r="AZ256" s="86" t="str">
        <f t="shared" si="128"/>
        <v>-</v>
      </c>
      <c r="BA256" s="86" t="str">
        <f t="shared" si="129"/>
        <v>-</v>
      </c>
      <c r="BB256" s="86" t="str">
        <f t="shared" si="130"/>
        <v>-</v>
      </c>
      <c r="BC256" s="86" t="str">
        <f t="shared" si="131"/>
        <v>-</v>
      </c>
      <c r="BD256" s="86" t="str">
        <f t="shared" si="132"/>
        <v>-</v>
      </c>
      <c r="BE256" s="86" t="str">
        <f t="shared" si="133"/>
        <v>-</v>
      </c>
      <c r="BF256" s="86" t="str">
        <f t="shared" si="134"/>
        <v>-</v>
      </c>
    </row>
    <row r="257" spans="1:58" x14ac:dyDescent="0.2">
      <c r="A257" s="19" t="s">
        <v>1144</v>
      </c>
      <c r="B257" s="19" t="s">
        <v>76</v>
      </c>
      <c r="C257" s="19">
        <v>18693838</v>
      </c>
      <c r="D257" s="81">
        <v>0</v>
      </c>
      <c r="E257" s="19" t="s">
        <v>1182</v>
      </c>
      <c r="F257" s="19" t="s">
        <v>1381</v>
      </c>
      <c r="G257" s="19" t="s">
        <v>1382</v>
      </c>
      <c r="H257" s="19" t="s">
        <v>1033</v>
      </c>
      <c r="I257" s="19" t="s">
        <v>662</v>
      </c>
      <c r="J257" s="19">
        <v>80</v>
      </c>
      <c r="K257" s="19" t="s">
        <v>563</v>
      </c>
      <c r="L257" s="19" t="s">
        <v>502</v>
      </c>
      <c r="M257" s="19" t="s">
        <v>16</v>
      </c>
      <c r="N257" s="19">
        <v>45722</v>
      </c>
      <c r="O257" s="19">
        <v>1</v>
      </c>
      <c r="P257" s="81">
        <v>1</v>
      </c>
      <c r="Q257" s="19" t="s">
        <v>23</v>
      </c>
      <c r="R257" s="19" t="s">
        <v>11</v>
      </c>
      <c r="S257" s="19" t="s">
        <v>23</v>
      </c>
      <c r="T257" s="19">
        <v>1</v>
      </c>
      <c r="U257" s="19" t="s">
        <v>11</v>
      </c>
      <c r="V257" s="19" t="s">
        <v>19</v>
      </c>
      <c r="W257" s="19" t="s">
        <v>19</v>
      </c>
      <c r="X257" s="19">
        <v>14716</v>
      </c>
      <c r="Y257" s="19" t="s">
        <v>735</v>
      </c>
      <c r="Z257" s="19">
        <v>1</v>
      </c>
      <c r="AA257" s="19">
        <v>14716</v>
      </c>
      <c r="AB257" s="19">
        <v>14716</v>
      </c>
      <c r="AC257" s="178" t="str">
        <f>IF(OR(M257="13",M257="14",P257=8),"",IF(AND(OR(S257="AUTORIZADO", S257="PENDIENTE", S257="REDUCIDO", S257="AMPLIADO"),L257&lt;&gt;"HONORARIO" ), CONCATENATE(IF(H257="X","H",H257),"_",IF(OR(P257=5,P257=6),_xlfn.CONCAT(P257,"A"),P257),"_",VLOOKUP(T257,Datos!$B$2:$C$5,2,TRUE)),""))</f>
        <v>M_1_[hasta 3]</v>
      </c>
      <c r="AD257" s="178">
        <f t="shared" si="108"/>
        <v>29432</v>
      </c>
      <c r="AE257" s="82" t="str">
        <f t="shared" si="109"/>
        <v>-</v>
      </c>
      <c r="AF257" s="83" t="str">
        <f t="shared" si="110"/>
        <v>070601</v>
      </c>
      <c r="AG257" s="84"/>
      <c r="AH257" s="85" t="str">
        <f t="shared" si="111"/>
        <v>Corporación de Fomento de la Producción</v>
      </c>
      <c r="AI257" s="82" t="str">
        <f t="shared" si="112"/>
        <v>-</v>
      </c>
      <c r="AJ257" s="82">
        <f t="shared" si="113"/>
        <v>0</v>
      </c>
      <c r="AK257" s="82" t="str">
        <f t="shared" si="114"/>
        <v>-</v>
      </c>
      <c r="AL257" s="82" t="str">
        <f t="shared" si="115"/>
        <v>Identifica este registro como MUJER</v>
      </c>
      <c r="AM257" s="82" t="str">
        <f t="shared" si="116"/>
        <v>-</v>
      </c>
      <c r="AN257" s="82" t="str">
        <f t="shared" si="117"/>
        <v>-</v>
      </c>
      <c r="AO257" s="82" t="str">
        <f t="shared" si="118"/>
        <v>-</v>
      </c>
      <c r="AP257" s="57" t="str">
        <f t="shared" si="119"/>
        <v>-</v>
      </c>
      <c r="AQ257" s="86" t="str">
        <f t="shared" si="120"/>
        <v>-</v>
      </c>
      <c r="AR257" s="86" t="str">
        <f>IF(N257="","PRIMER_DIA en blanco",
IF(AND(M257="01",N257&gt;=L_Conversion!$C$118,N257&lt;=L_Conversion!$D$118),"-",
IF(AND(M257="02",N257&gt;=L_Conversion!$C$119,N257&lt;=L_Conversion!$D$119),"-",
IF(AND(M257="03",N257&gt;=L_Conversion!$C$120,N257&lt;=L_Conversion!$D$120),"-",
IF(AND(M257="04",N257&gt;=L_Conversion!$C$121,N257&lt;=L_Conversion!$D$121),"-",
IF(AND(M257="05",N257&gt;=L_Conversion!$C$122,N257&lt;=L_Conversion!$D$122),"-",
IF(AND(M257="06",N257&gt;=L_Conversion!$C$123,N257&lt;=L_Conversion!$D$123),"-",
IF(AND(M257="07",N257&gt;=L_Conversion!$C$124,N257&lt;=L_Conversion!$D$124),"-",
IF(AND(M257="08",N257&gt;=L_Conversion!$C$125,N257&lt;=L_Conversion!$D$125),"-",
IF(AND(M257="09",N257&gt;=L_Conversion!$C$126,N257&lt;=L_Conversion!$D$126),"-",
IF(AND(M257="10",N257&gt;=L_Conversion!$C$127,N257&lt;=L_Conversion!$D$127),"-",
IF(AND(M257="11",N257&gt;=L_Conversion!$C$128,N257&lt;=L_Conversion!$D$128),"-",
IF(AND(M257="12",N257&gt;=L_Conversion!$C$129,N257&lt;=L_Conversion!$D$129),"-",
IF(AND(M257="13",N257&gt;=L_Conversion!$C$116,N257&lt;=L_Conversion!$D$116),"-",
IF(AND(M257="14",N257&gt;=L_Conversion!$C$117,N257&lt;=L_Conversion!$D$117),"-",
"PRIMER_DIA fuera de rango")))))))))))))))</f>
        <v>-</v>
      </c>
      <c r="AS257" s="86" t="str">
        <f t="shared" si="121"/>
        <v>-</v>
      </c>
      <c r="AT257" s="86" t="str">
        <f t="shared" si="122"/>
        <v>-</v>
      </c>
      <c r="AU257" s="86" t="str">
        <f t="shared" si="123"/>
        <v>-</v>
      </c>
      <c r="AV257" s="86" t="str">
        <f t="shared" si="124"/>
        <v>-</v>
      </c>
      <c r="AW257" s="86" t="str">
        <f t="shared" si="125"/>
        <v>-</v>
      </c>
      <c r="AX257" s="86" t="str">
        <f t="shared" si="126"/>
        <v>-</v>
      </c>
      <c r="AY257" s="86" t="str">
        <f t="shared" si="127"/>
        <v>-</v>
      </c>
      <c r="AZ257" s="86" t="str">
        <f t="shared" si="128"/>
        <v>-</v>
      </c>
      <c r="BA257" s="86" t="str">
        <f t="shared" si="129"/>
        <v>-</v>
      </c>
      <c r="BB257" s="86" t="str">
        <f t="shared" si="130"/>
        <v>-</v>
      </c>
      <c r="BC257" s="86" t="str">
        <f t="shared" si="131"/>
        <v>-</v>
      </c>
      <c r="BD257" s="86" t="str">
        <f t="shared" si="132"/>
        <v>-</v>
      </c>
      <c r="BE257" s="86" t="str">
        <f t="shared" si="133"/>
        <v>-</v>
      </c>
      <c r="BF257" s="86" t="str">
        <f t="shared" si="134"/>
        <v>-</v>
      </c>
    </row>
    <row r="258" spans="1:58" x14ac:dyDescent="0.2">
      <c r="A258" s="19" t="s">
        <v>1144</v>
      </c>
      <c r="B258" s="19" t="s">
        <v>76</v>
      </c>
      <c r="C258" s="19">
        <v>17287311</v>
      </c>
      <c r="D258" s="81">
        <v>1</v>
      </c>
      <c r="E258" s="19" t="s">
        <v>1279</v>
      </c>
      <c r="F258" s="19" t="s">
        <v>1420</v>
      </c>
      <c r="G258" s="19" t="s">
        <v>1421</v>
      </c>
      <c r="H258" s="19" t="s">
        <v>1033</v>
      </c>
      <c r="I258" s="19" t="s">
        <v>662</v>
      </c>
      <c r="J258" s="19">
        <v>80</v>
      </c>
      <c r="K258" s="19" t="s">
        <v>563</v>
      </c>
      <c r="L258" s="19" t="s">
        <v>502</v>
      </c>
      <c r="M258" s="19" t="s">
        <v>16</v>
      </c>
      <c r="N258" s="19">
        <v>45722</v>
      </c>
      <c r="O258" s="19">
        <v>2</v>
      </c>
      <c r="P258" s="81">
        <v>1</v>
      </c>
      <c r="Q258" s="19" t="s">
        <v>23</v>
      </c>
      <c r="R258" s="19" t="s">
        <v>11</v>
      </c>
      <c r="S258" s="19" t="s">
        <v>23</v>
      </c>
      <c r="T258" s="19">
        <v>2</v>
      </c>
      <c r="U258" s="19" t="s">
        <v>11</v>
      </c>
      <c r="V258" s="19" t="s">
        <v>19</v>
      </c>
      <c r="W258" s="19" t="s">
        <v>19</v>
      </c>
      <c r="X258" s="19">
        <v>31132</v>
      </c>
      <c r="Y258" s="19" t="s">
        <v>735</v>
      </c>
      <c r="Z258" s="19">
        <v>2</v>
      </c>
      <c r="AA258" s="19">
        <v>31132</v>
      </c>
      <c r="AB258" s="19">
        <v>31132</v>
      </c>
      <c r="AC258" s="178" t="str">
        <f>IF(OR(M258="13",M258="14",P258=8),"",IF(AND(OR(S258="AUTORIZADO", S258="PENDIENTE", S258="REDUCIDO", S258="AMPLIADO"),L258&lt;&gt;"HONORARIO" ), CONCATENATE(IF(H258="X","H",H258),"_",IF(OR(P258=5,P258=6),_xlfn.CONCAT(P258,"A"),P258),"_",VLOOKUP(T258,Datos!$B$2:$C$5,2,TRUE)),""))</f>
        <v>M_1_[hasta 3]</v>
      </c>
      <c r="AD258" s="178">
        <f t="shared" si="108"/>
        <v>62264</v>
      </c>
      <c r="AE258" s="82" t="str">
        <f t="shared" si="109"/>
        <v>-</v>
      </c>
      <c r="AF258" s="83" t="str">
        <f t="shared" si="110"/>
        <v>070601</v>
      </c>
      <c r="AG258" s="84"/>
      <c r="AH258" s="85" t="str">
        <f t="shared" si="111"/>
        <v>Corporación de Fomento de la Producción</v>
      </c>
      <c r="AI258" s="82" t="str">
        <f t="shared" si="112"/>
        <v>-</v>
      </c>
      <c r="AJ258" s="82">
        <f t="shared" si="113"/>
        <v>1</v>
      </c>
      <c r="AK258" s="82" t="str">
        <f t="shared" si="114"/>
        <v>-</v>
      </c>
      <c r="AL258" s="82" t="str">
        <f t="shared" si="115"/>
        <v>Identifica este registro como MUJER</v>
      </c>
      <c r="AM258" s="82" t="str">
        <f t="shared" si="116"/>
        <v>-</v>
      </c>
      <c r="AN258" s="82" t="str">
        <f t="shared" si="117"/>
        <v>-</v>
      </c>
      <c r="AO258" s="82" t="str">
        <f t="shared" si="118"/>
        <v>-</v>
      </c>
      <c r="AP258" s="57" t="str">
        <f t="shared" si="119"/>
        <v>-</v>
      </c>
      <c r="AQ258" s="86" t="str">
        <f t="shared" si="120"/>
        <v>-</v>
      </c>
      <c r="AR258" s="86" t="str">
        <f>IF(N258="","PRIMER_DIA en blanco",
IF(AND(M258="01",N258&gt;=L_Conversion!$C$118,N258&lt;=L_Conversion!$D$118),"-",
IF(AND(M258="02",N258&gt;=L_Conversion!$C$119,N258&lt;=L_Conversion!$D$119),"-",
IF(AND(M258="03",N258&gt;=L_Conversion!$C$120,N258&lt;=L_Conversion!$D$120),"-",
IF(AND(M258="04",N258&gt;=L_Conversion!$C$121,N258&lt;=L_Conversion!$D$121),"-",
IF(AND(M258="05",N258&gt;=L_Conversion!$C$122,N258&lt;=L_Conversion!$D$122),"-",
IF(AND(M258="06",N258&gt;=L_Conversion!$C$123,N258&lt;=L_Conversion!$D$123),"-",
IF(AND(M258="07",N258&gt;=L_Conversion!$C$124,N258&lt;=L_Conversion!$D$124),"-",
IF(AND(M258="08",N258&gt;=L_Conversion!$C$125,N258&lt;=L_Conversion!$D$125),"-",
IF(AND(M258="09",N258&gt;=L_Conversion!$C$126,N258&lt;=L_Conversion!$D$126),"-",
IF(AND(M258="10",N258&gt;=L_Conversion!$C$127,N258&lt;=L_Conversion!$D$127),"-",
IF(AND(M258="11",N258&gt;=L_Conversion!$C$128,N258&lt;=L_Conversion!$D$128),"-",
IF(AND(M258="12",N258&gt;=L_Conversion!$C$129,N258&lt;=L_Conversion!$D$129),"-",
IF(AND(M258="13",N258&gt;=L_Conversion!$C$116,N258&lt;=L_Conversion!$D$116),"-",
IF(AND(M258="14",N258&gt;=L_Conversion!$C$117,N258&lt;=L_Conversion!$D$117),"-",
"PRIMER_DIA fuera de rango")))))))))))))))</f>
        <v>-</v>
      </c>
      <c r="AS258" s="86" t="str">
        <f t="shared" si="121"/>
        <v>-</v>
      </c>
      <c r="AT258" s="86" t="str">
        <f t="shared" si="122"/>
        <v>-</v>
      </c>
      <c r="AU258" s="86" t="str">
        <f t="shared" si="123"/>
        <v>-</v>
      </c>
      <c r="AV258" s="86" t="str">
        <f t="shared" si="124"/>
        <v>-</v>
      </c>
      <c r="AW258" s="86" t="str">
        <f t="shared" si="125"/>
        <v>-</v>
      </c>
      <c r="AX258" s="86" t="str">
        <f t="shared" si="126"/>
        <v>-</v>
      </c>
      <c r="AY258" s="86" t="str">
        <f t="shared" si="127"/>
        <v>-</v>
      </c>
      <c r="AZ258" s="86" t="str">
        <f t="shared" si="128"/>
        <v>-</v>
      </c>
      <c r="BA258" s="86" t="str">
        <f t="shared" si="129"/>
        <v>-</v>
      </c>
      <c r="BB258" s="86" t="str">
        <f t="shared" si="130"/>
        <v>-</v>
      </c>
      <c r="BC258" s="86" t="str">
        <f t="shared" si="131"/>
        <v>-</v>
      </c>
      <c r="BD258" s="86" t="str">
        <f t="shared" si="132"/>
        <v>-</v>
      </c>
      <c r="BE258" s="86" t="str">
        <f t="shared" si="133"/>
        <v>-</v>
      </c>
      <c r="BF258" s="86" t="str">
        <f t="shared" si="134"/>
        <v>-</v>
      </c>
    </row>
    <row r="259" spans="1:58" x14ac:dyDescent="0.2">
      <c r="A259" s="19" t="s">
        <v>1144</v>
      </c>
      <c r="B259" s="19" t="s">
        <v>678</v>
      </c>
      <c r="C259" s="19">
        <v>16614791</v>
      </c>
      <c r="D259" s="81">
        <v>3</v>
      </c>
      <c r="E259" s="19" t="s">
        <v>1180</v>
      </c>
      <c r="F259" s="19" t="s">
        <v>1549</v>
      </c>
      <c r="G259" s="19" t="s">
        <v>1550</v>
      </c>
      <c r="H259" s="19" t="s">
        <v>1033</v>
      </c>
      <c r="I259" s="19" t="s">
        <v>663</v>
      </c>
      <c r="J259" s="19">
        <v>80</v>
      </c>
      <c r="K259" s="19" t="s">
        <v>567</v>
      </c>
      <c r="L259" s="19" t="s">
        <v>516</v>
      </c>
      <c r="M259" s="19" t="s">
        <v>16</v>
      </c>
      <c r="N259" s="19">
        <v>45722</v>
      </c>
      <c r="O259" s="19">
        <v>2</v>
      </c>
      <c r="P259" s="81">
        <v>1</v>
      </c>
      <c r="Q259" s="19" t="s">
        <v>23</v>
      </c>
      <c r="R259" s="19" t="s">
        <v>11</v>
      </c>
      <c r="S259" s="19" t="s">
        <v>23</v>
      </c>
      <c r="T259" s="19">
        <v>2</v>
      </c>
      <c r="U259" s="19" t="s">
        <v>11</v>
      </c>
      <c r="V259" s="19" t="s">
        <v>19</v>
      </c>
      <c r="W259" s="19" t="s">
        <v>19</v>
      </c>
      <c r="X259" s="19">
        <v>20285</v>
      </c>
      <c r="Y259" s="19" t="s">
        <v>735</v>
      </c>
      <c r="Z259" s="19">
        <v>2</v>
      </c>
      <c r="AA259" s="19">
        <v>20285</v>
      </c>
      <c r="AB259" s="19">
        <v>20285</v>
      </c>
      <c r="AC259" s="178" t="str">
        <f>IF(OR(M259="13",M259="14",P259=8),"",IF(AND(OR(S259="AUTORIZADO", S259="PENDIENTE", S259="REDUCIDO", S259="AMPLIADO"),L259&lt;&gt;"HONORARIO" ), CONCATENATE(IF(H259="X","H",H259),"_",IF(OR(P259=5,P259=6),_xlfn.CONCAT(P259,"A"),P259),"_",VLOOKUP(T259,Datos!$B$2:$C$5,2,TRUE)),""))</f>
        <v>M_1_[hasta 3]</v>
      </c>
      <c r="AD259" s="178">
        <f t="shared" si="108"/>
        <v>40570</v>
      </c>
      <c r="AE259" s="82" t="str">
        <f t="shared" si="109"/>
        <v>-</v>
      </c>
      <c r="AF259" s="83" t="str">
        <f t="shared" si="110"/>
        <v>Revisar</v>
      </c>
      <c r="AG259" s="84"/>
      <c r="AH259" s="85" t="str">
        <f t="shared" si="111"/>
        <v>Corporación de Fomento de la Producción</v>
      </c>
      <c r="AI259" s="82" t="str">
        <f t="shared" si="112"/>
        <v>-</v>
      </c>
      <c r="AJ259" s="82">
        <f t="shared" si="113"/>
        <v>3</v>
      </c>
      <c r="AK259" s="82" t="str">
        <f t="shared" si="114"/>
        <v>-</v>
      </c>
      <c r="AL259" s="82" t="str">
        <f t="shared" si="115"/>
        <v>Identifica este registro como MUJER</v>
      </c>
      <c r="AM259" s="82" t="str">
        <f t="shared" si="116"/>
        <v>-</v>
      </c>
      <c r="AN259" s="82" t="str">
        <f t="shared" si="117"/>
        <v>-</v>
      </c>
      <c r="AO259" s="82" t="str">
        <f t="shared" si="118"/>
        <v>-</v>
      </c>
      <c r="AP259" s="57" t="str">
        <f t="shared" si="119"/>
        <v>-</v>
      </c>
      <c r="AQ259" s="86" t="str">
        <f t="shared" si="120"/>
        <v>-</v>
      </c>
      <c r="AR259" s="86" t="str">
        <f>IF(N259="","PRIMER_DIA en blanco",
IF(AND(M259="01",N259&gt;=L_Conversion!$C$118,N259&lt;=L_Conversion!$D$118),"-",
IF(AND(M259="02",N259&gt;=L_Conversion!$C$119,N259&lt;=L_Conversion!$D$119),"-",
IF(AND(M259="03",N259&gt;=L_Conversion!$C$120,N259&lt;=L_Conversion!$D$120),"-",
IF(AND(M259="04",N259&gt;=L_Conversion!$C$121,N259&lt;=L_Conversion!$D$121),"-",
IF(AND(M259="05",N259&gt;=L_Conversion!$C$122,N259&lt;=L_Conversion!$D$122),"-",
IF(AND(M259="06",N259&gt;=L_Conversion!$C$123,N259&lt;=L_Conversion!$D$123),"-",
IF(AND(M259="07",N259&gt;=L_Conversion!$C$124,N259&lt;=L_Conversion!$D$124),"-",
IF(AND(M259="08",N259&gt;=L_Conversion!$C$125,N259&lt;=L_Conversion!$D$125),"-",
IF(AND(M259="09",N259&gt;=L_Conversion!$C$126,N259&lt;=L_Conversion!$D$126),"-",
IF(AND(M259="10",N259&gt;=L_Conversion!$C$127,N259&lt;=L_Conversion!$D$127),"-",
IF(AND(M259="11",N259&gt;=L_Conversion!$C$128,N259&lt;=L_Conversion!$D$128),"-",
IF(AND(M259="12",N259&gt;=L_Conversion!$C$129,N259&lt;=L_Conversion!$D$129),"-",
IF(AND(M259="13",N259&gt;=L_Conversion!$C$116,N259&lt;=L_Conversion!$D$116),"-",
IF(AND(M259="14",N259&gt;=L_Conversion!$C$117,N259&lt;=L_Conversion!$D$117),"-",
"PRIMER_DIA fuera de rango")))))))))))))))</f>
        <v>-</v>
      </c>
      <c r="AS259" s="86" t="str">
        <f t="shared" si="121"/>
        <v>-</v>
      </c>
      <c r="AT259" s="86" t="str">
        <f t="shared" si="122"/>
        <v>-</v>
      </c>
      <c r="AU259" s="86" t="str">
        <f t="shared" si="123"/>
        <v>-</v>
      </c>
      <c r="AV259" s="86" t="str">
        <f t="shared" si="124"/>
        <v>-</v>
      </c>
      <c r="AW259" s="86" t="str">
        <f t="shared" si="125"/>
        <v>-</v>
      </c>
      <c r="AX259" s="86" t="str">
        <f t="shared" si="126"/>
        <v>-</v>
      </c>
      <c r="AY259" s="86" t="str">
        <f t="shared" si="127"/>
        <v>-</v>
      </c>
      <c r="AZ259" s="86" t="str">
        <f t="shared" si="128"/>
        <v>-</v>
      </c>
      <c r="BA259" s="86" t="str">
        <f t="shared" si="129"/>
        <v>-</v>
      </c>
      <c r="BB259" s="86" t="str">
        <f t="shared" si="130"/>
        <v>-</v>
      </c>
      <c r="BC259" s="86" t="str">
        <f t="shared" si="131"/>
        <v>-</v>
      </c>
      <c r="BD259" s="86" t="str">
        <f t="shared" si="132"/>
        <v>-</v>
      </c>
      <c r="BE259" s="86" t="str">
        <f t="shared" si="133"/>
        <v>-</v>
      </c>
      <c r="BF259" s="86" t="str">
        <f t="shared" si="134"/>
        <v>-</v>
      </c>
    </row>
    <row r="260" spans="1:58" x14ac:dyDescent="0.2">
      <c r="A260" s="19" t="s">
        <v>1144</v>
      </c>
      <c r="B260" s="19" t="s">
        <v>76</v>
      </c>
      <c r="C260" s="19">
        <v>18693838</v>
      </c>
      <c r="D260" s="81">
        <v>0</v>
      </c>
      <c r="E260" s="19" t="s">
        <v>1182</v>
      </c>
      <c r="F260" s="19" t="s">
        <v>1381</v>
      </c>
      <c r="G260" s="19" t="s">
        <v>1382</v>
      </c>
      <c r="H260" s="19" t="s">
        <v>1033</v>
      </c>
      <c r="I260" s="19" t="s">
        <v>662</v>
      </c>
      <c r="J260" s="19">
        <v>80</v>
      </c>
      <c r="K260" s="19" t="s">
        <v>563</v>
      </c>
      <c r="L260" s="19" t="s">
        <v>502</v>
      </c>
      <c r="M260" s="19" t="s">
        <v>16</v>
      </c>
      <c r="N260" s="19">
        <v>45723</v>
      </c>
      <c r="O260" s="19">
        <v>24</v>
      </c>
      <c r="P260" s="81">
        <v>1</v>
      </c>
      <c r="Q260" s="19" t="s">
        <v>23</v>
      </c>
      <c r="R260" s="19" t="s">
        <v>11</v>
      </c>
      <c r="S260" s="19" t="s">
        <v>23</v>
      </c>
      <c r="T260" s="19">
        <v>24</v>
      </c>
      <c r="U260" s="19" t="s">
        <v>11</v>
      </c>
      <c r="V260" s="19" t="s">
        <v>11</v>
      </c>
      <c r="W260" s="19" t="s">
        <v>19</v>
      </c>
      <c r="X260" s="19">
        <v>1896891</v>
      </c>
      <c r="Y260" s="19" t="s">
        <v>735</v>
      </c>
      <c r="Z260" s="19">
        <v>24</v>
      </c>
      <c r="AA260" s="19">
        <v>1896891</v>
      </c>
      <c r="AB260" s="19">
        <v>1896891</v>
      </c>
      <c r="AC260" s="178" t="str">
        <f>IF(OR(M260="13",M260="14",P260=8),"",IF(AND(OR(S260="AUTORIZADO", S260="PENDIENTE", S260="REDUCIDO", S260="AMPLIADO"),L260&lt;&gt;"HONORARIO" ), CONCATENATE(IF(H260="X","H",H260),"_",IF(OR(P260=5,P260=6),_xlfn.CONCAT(P260,"A"),P260),"_",VLOOKUP(T260,Datos!$B$2:$C$5,2,TRUE)),""))</f>
        <v>M_1_[11 +]</v>
      </c>
      <c r="AD260" s="178">
        <f t="shared" si="108"/>
        <v>3793782</v>
      </c>
      <c r="AE260" s="82" t="str">
        <f t="shared" si="109"/>
        <v>-</v>
      </c>
      <c r="AF260" s="83" t="str">
        <f t="shared" si="110"/>
        <v>070601</v>
      </c>
      <c r="AG260" s="84"/>
      <c r="AH260" s="85" t="str">
        <f t="shared" si="111"/>
        <v>Corporación de Fomento de la Producción</v>
      </c>
      <c r="AI260" s="82" t="str">
        <f t="shared" si="112"/>
        <v>-</v>
      </c>
      <c r="AJ260" s="82">
        <f t="shared" si="113"/>
        <v>0</v>
      </c>
      <c r="AK260" s="82" t="str">
        <f t="shared" si="114"/>
        <v>-</v>
      </c>
      <c r="AL260" s="82" t="str">
        <f t="shared" si="115"/>
        <v>Identifica este registro como MUJER</v>
      </c>
      <c r="AM260" s="82" t="str">
        <f t="shared" si="116"/>
        <v>-</v>
      </c>
      <c r="AN260" s="82" t="str">
        <f t="shared" si="117"/>
        <v>-</v>
      </c>
      <c r="AO260" s="82" t="str">
        <f t="shared" si="118"/>
        <v>-</v>
      </c>
      <c r="AP260" s="57" t="str">
        <f t="shared" si="119"/>
        <v>-</v>
      </c>
      <c r="AQ260" s="86" t="str">
        <f t="shared" si="120"/>
        <v>-</v>
      </c>
      <c r="AR260" s="86" t="str">
        <f>IF(N260="","PRIMER_DIA en blanco",
IF(AND(M260="01",N260&gt;=L_Conversion!$C$118,N260&lt;=L_Conversion!$D$118),"-",
IF(AND(M260="02",N260&gt;=L_Conversion!$C$119,N260&lt;=L_Conversion!$D$119),"-",
IF(AND(M260="03",N260&gt;=L_Conversion!$C$120,N260&lt;=L_Conversion!$D$120),"-",
IF(AND(M260="04",N260&gt;=L_Conversion!$C$121,N260&lt;=L_Conversion!$D$121),"-",
IF(AND(M260="05",N260&gt;=L_Conversion!$C$122,N260&lt;=L_Conversion!$D$122),"-",
IF(AND(M260="06",N260&gt;=L_Conversion!$C$123,N260&lt;=L_Conversion!$D$123),"-",
IF(AND(M260="07",N260&gt;=L_Conversion!$C$124,N260&lt;=L_Conversion!$D$124),"-",
IF(AND(M260="08",N260&gt;=L_Conversion!$C$125,N260&lt;=L_Conversion!$D$125),"-",
IF(AND(M260="09",N260&gt;=L_Conversion!$C$126,N260&lt;=L_Conversion!$D$126),"-",
IF(AND(M260="10",N260&gt;=L_Conversion!$C$127,N260&lt;=L_Conversion!$D$127),"-",
IF(AND(M260="11",N260&gt;=L_Conversion!$C$128,N260&lt;=L_Conversion!$D$128),"-",
IF(AND(M260="12",N260&gt;=L_Conversion!$C$129,N260&lt;=L_Conversion!$D$129),"-",
IF(AND(M260="13",N260&gt;=L_Conversion!$C$116,N260&lt;=L_Conversion!$D$116),"-",
IF(AND(M260="14",N260&gt;=L_Conversion!$C$117,N260&lt;=L_Conversion!$D$117),"-",
"PRIMER_DIA fuera de rango")))))))))))))))</f>
        <v>-</v>
      </c>
      <c r="AS260" s="86" t="str">
        <f t="shared" si="121"/>
        <v>-</v>
      </c>
      <c r="AT260" s="86" t="str">
        <f t="shared" si="122"/>
        <v>-</v>
      </c>
      <c r="AU260" s="86" t="str">
        <f t="shared" si="123"/>
        <v>-</v>
      </c>
      <c r="AV260" s="86" t="str">
        <f t="shared" si="124"/>
        <v>-</v>
      </c>
      <c r="AW260" s="86" t="str">
        <f t="shared" si="125"/>
        <v>-</v>
      </c>
      <c r="AX260" s="86" t="str">
        <f t="shared" si="126"/>
        <v>-</v>
      </c>
      <c r="AY260" s="86" t="str">
        <f t="shared" si="127"/>
        <v>-</v>
      </c>
      <c r="AZ260" s="86" t="str">
        <f t="shared" si="128"/>
        <v>-</v>
      </c>
      <c r="BA260" s="86" t="str">
        <f t="shared" si="129"/>
        <v>-</v>
      </c>
      <c r="BB260" s="86" t="str">
        <f t="shared" si="130"/>
        <v>-</v>
      </c>
      <c r="BC260" s="86" t="str">
        <f t="shared" si="131"/>
        <v>-</v>
      </c>
      <c r="BD260" s="86" t="str">
        <f t="shared" si="132"/>
        <v>-</v>
      </c>
      <c r="BE260" s="86" t="str">
        <f t="shared" si="133"/>
        <v>-</v>
      </c>
      <c r="BF260" s="86" t="str">
        <f t="shared" si="134"/>
        <v>-</v>
      </c>
    </row>
    <row r="261" spans="1:58" x14ac:dyDescent="0.2">
      <c r="A261" s="19" t="s">
        <v>1144</v>
      </c>
      <c r="B261" s="19" t="s">
        <v>76</v>
      </c>
      <c r="C261" s="19">
        <v>16871109</v>
      </c>
      <c r="D261" s="81">
        <v>3</v>
      </c>
      <c r="E261" s="19" t="s">
        <v>1213</v>
      </c>
      <c r="F261" s="19" t="s">
        <v>1150</v>
      </c>
      <c r="G261" s="19" t="s">
        <v>1214</v>
      </c>
      <c r="H261" s="19" t="s">
        <v>1033</v>
      </c>
      <c r="I261" s="19" t="s">
        <v>662</v>
      </c>
      <c r="J261" s="19">
        <v>80</v>
      </c>
      <c r="K261" s="19" t="s">
        <v>563</v>
      </c>
      <c r="L261" s="19" t="s">
        <v>502</v>
      </c>
      <c r="M261" s="19" t="s">
        <v>16</v>
      </c>
      <c r="N261" s="19">
        <v>45724</v>
      </c>
      <c r="O261" s="19">
        <v>30</v>
      </c>
      <c r="P261" s="81">
        <v>4</v>
      </c>
      <c r="Q261" s="19" t="s">
        <v>23</v>
      </c>
      <c r="R261" s="19" t="s">
        <v>11</v>
      </c>
      <c r="S261" s="19" t="s">
        <v>23</v>
      </c>
      <c r="T261" s="19">
        <v>30</v>
      </c>
      <c r="U261" s="19" t="s">
        <v>11</v>
      </c>
      <c r="V261" s="19" t="s">
        <v>11</v>
      </c>
      <c r="W261" s="19" t="s">
        <v>19</v>
      </c>
      <c r="X261" s="19">
        <v>73548</v>
      </c>
      <c r="Y261" s="19" t="s">
        <v>735</v>
      </c>
      <c r="Z261" s="19">
        <v>30</v>
      </c>
      <c r="AA261" s="19">
        <v>73548</v>
      </c>
      <c r="AB261" s="19">
        <v>73548</v>
      </c>
      <c r="AC261" s="178" t="str">
        <f>IF(OR(M261="13",M261="14",P261=8),"",IF(AND(OR(S261="AUTORIZADO", S261="PENDIENTE", S261="REDUCIDO", S261="AMPLIADO"),L261&lt;&gt;"HONORARIO" ), CONCATENATE(IF(H261="X","H",H261),"_",IF(OR(P261=5,P261=6),_xlfn.CONCAT(P261,"A"),P261),"_",VLOOKUP(T261,Datos!$B$2:$C$5,2,TRUE)),""))</f>
        <v>M_4_[11 +]</v>
      </c>
      <c r="AD261" s="178">
        <f t="shared" si="108"/>
        <v>147096</v>
      </c>
      <c r="AE261" s="82" t="str">
        <f t="shared" si="109"/>
        <v>-</v>
      </c>
      <c r="AF261" s="83" t="str">
        <f t="shared" si="110"/>
        <v>070601</v>
      </c>
      <c r="AG261" s="84"/>
      <c r="AH261" s="85" t="str">
        <f t="shared" si="111"/>
        <v>Corporación de Fomento de la Producción</v>
      </c>
      <c r="AI261" s="82" t="str">
        <f t="shared" si="112"/>
        <v>-</v>
      </c>
      <c r="AJ261" s="82">
        <f t="shared" si="113"/>
        <v>3</v>
      </c>
      <c r="AK261" s="82" t="str">
        <f t="shared" si="114"/>
        <v>-</v>
      </c>
      <c r="AL261" s="82" t="str">
        <f t="shared" si="115"/>
        <v>Identifica este registro como MUJER</v>
      </c>
      <c r="AM261" s="82" t="str">
        <f t="shared" si="116"/>
        <v>-</v>
      </c>
      <c r="AN261" s="82" t="str">
        <f t="shared" si="117"/>
        <v>-</v>
      </c>
      <c r="AO261" s="82" t="str">
        <f t="shared" si="118"/>
        <v>-</v>
      </c>
      <c r="AP261" s="57" t="str">
        <f t="shared" si="119"/>
        <v>-</v>
      </c>
      <c r="AQ261" s="86" t="str">
        <f t="shared" si="120"/>
        <v>-</v>
      </c>
      <c r="AR261" s="86" t="str">
        <f>IF(N261="","PRIMER_DIA en blanco",
IF(AND(M261="01",N261&gt;=L_Conversion!$C$118,N261&lt;=L_Conversion!$D$118),"-",
IF(AND(M261="02",N261&gt;=L_Conversion!$C$119,N261&lt;=L_Conversion!$D$119),"-",
IF(AND(M261="03",N261&gt;=L_Conversion!$C$120,N261&lt;=L_Conversion!$D$120),"-",
IF(AND(M261="04",N261&gt;=L_Conversion!$C$121,N261&lt;=L_Conversion!$D$121),"-",
IF(AND(M261="05",N261&gt;=L_Conversion!$C$122,N261&lt;=L_Conversion!$D$122),"-",
IF(AND(M261="06",N261&gt;=L_Conversion!$C$123,N261&lt;=L_Conversion!$D$123),"-",
IF(AND(M261="07",N261&gt;=L_Conversion!$C$124,N261&lt;=L_Conversion!$D$124),"-",
IF(AND(M261="08",N261&gt;=L_Conversion!$C$125,N261&lt;=L_Conversion!$D$125),"-",
IF(AND(M261="09",N261&gt;=L_Conversion!$C$126,N261&lt;=L_Conversion!$D$126),"-",
IF(AND(M261="10",N261&gt;=L_Conversion!$C$127,N261&lt;=L_Conversion!$D$127),"-",
IF(AND(M261="11",N261&gt;=L_Conversion!$C$128,N261&lt;=L_Conversion!$D$128),"-",
IF(AND(M261="12",N261&gt;=L_Conversion!$C$129,N261&lt;=L_Conversion!$D$129),"-",
IF(AND(M261="13",N261&gt;=L_Conversion!$C$116,N261&lt;=L_Conversion!$D$116),"-",
IF(AND(M261="14",N261&gt;=L_Conversion!$C$117,N261&lt;=L_Conversion!$D$117),"-",
"PRIMER_DIA fuera de rango")))))))))))))))</f>
        <v>-</v>
      </c>
      <c r="AS261" s="86" t="str">
        <f t="shared" si="121"/>
        <v>-</v>
      </c>
      <c r="AT261" s="86" t="str">
        <f t="shared" si="122"/>
        <v>-</v>
      </c>
      <c r="AU261" s="86" t="str">
        <f t="shared" si="123"/>
        <v>-</v>
      </c>
      <c r="AV261" s="86" t="str">
        <f t="shared" si="124"/>
        <v>-</v>
      </c>
      <c r="AW261" s="86" t="str">
        <f t="shared" si="125"/>
        <v>-</v>
      </c>
      <c r="AX261" s="86" t="str">
        <f t="shared" si="126"/>
        <v>-</v>
      </c>
      <c r="AY261" s="86" t="str">
        <f t="shared" si="127"/>
        <v>-</v>
      </c>
      <c r="AZ261" s="86" t="str">
        <f t="shared" si="128"/>
        <v>-</v>
      </c>
      <c r="BA261" s="86" t="str">
        <f t="shared" si="129"/>
        <v>-</v>
      </c>
      <c r="BB261" s="86" t="str">
        <f t="shared" si="130"/>
        <v>-</v>
      </c>
      <c r="BC261" s="86" t="str">
        <f t="shared" si="131"/>
        <v>-</v>
      </c>
      <c r="BD261" s="86" t="str">
        <f t="shared" si="132"/>
        <v>-</v>
      </c>
      <c r="BE261" s="86" t="str">
        <f t="shared" si="133"/>
        <v>-</v>
      </c>
      <c r="BF261" s="86" t="str">
        <f t="shared" si="134"/>
        <v>-</v>
      </c>
    </row>
    <row r="262" spans="1:58" x14ac:dyDescent="0.2">
      <c r="A262" s="19" t="s">
        <v>1144</v>
      </c>
      <c r="B262" s="19" t="s">
        <v>76</v>
      </c>
      <c r="C262" s="19">
        <v>18303226</v>
      </c>
      <c r="D262" s="81">
        <v>7</v>
      </c>
      <c r="E262" s="19" t="s">
        <v>1391</v>
      </c>
      <c r="F262" s="19" t="s">
        <v>1392</v>
      </c>
      <c r="G262" s="19" t="s">
        <v>1186</v>
      </c>
      <c r="H262" s="19" t="s">
        <v>1033</v>
      </c>
      <c r="I262" s="19" t="s">
        <v>662</v>
      </c>
      <c r="J262" s="19">
        <v>80</v>
      </c>
      <c r="K262" s="19" t="s">
        <v>567</v>
      </c>
      <c r="L262" s="19" t="s">
        <v>502</v>
      </c>
      <c r="M262" s="19" t="s">
        <v>16</v>
      </c>
      <c r="N262" s="19">
        <v>45724</v>
      </c>
      <c r="O262" s="19">
        <v>14</v>
      </c>
      <c r="P262" s="81">
        <v>7</v>
      </c>
      <c r="Q262" s="19" t="s">
        <v>23</v>
      </c>
      <c r="R262" s="19" t="s">
        <v>11</v>
      </c>
      <c r="S262" s="19" t="s">
        <v>23</v>
      </c>
      <c r="T262" s="19">
        <v>14</v>
      </c>
      <c r="U262" s="19" t="s">
        <v>11</v>
      </c>
      <c r="V262" s="19" t="s">
        <v>11</v>
      </c>
      <c r="W262" s="19" t="s">
        <v>19</v>
      </c>
      <c r="X262" s="19">
        <v>603212</v>
      </c>
      <c r="Y262" s="19" t="s">
        <v>735</v>
      </c>
      <c r="Z262" s="19">
        <v>14</v>
      </c>
      <c r="AA262" s="19">
        <v>603212</v>
      </c>
      <c r="AB262" s="19">
        <v>603212</v>
      </c>
      <c r="AC262" s="178" t="str">
        <f>IF(OR(M262="13",M262="14",P262=8),"",IF(AND(OR(S262="AUTORIZADO", S262="PENDIENTE", S262="REDUCIDO", S262="AMPLIADO"),L262&lt;&gt;"HONORARIO" ), CONCATENATE(IF(H262="X","H",H262),"_",IF(OR(P262=5,P262=6),_xlfn.CONCAT(P262,"A"),P262),"_",VLOOKUP(T262,Datos!$B$2:$C$5,2,TRUE)),""))</f>
        <v>M_7_[11 +]</v>
      </c>
      <c r="AD262" s="178">
        <f t="shared" si="108"/>
        <v>1206424</v>
      </c>
      <c r="AE262" s="82" t="str">
        <f t="shared" si="109"/>
        <v>-</v>
      </c>
      <c r="AF262" s="83" t="str">
        <f t="shared" si="110"/>
        <v>070601</v>
      </c>
      <c r="AG262" s="84"/>
      <c r="AH262" s="85" t="str">
        <f t="shared" si="111"/>
        <v>Corporación de Fomento de la Producción</v>
      </c>
      <c r="AI262" s="82" t="str">
        <f t="shared" si="112"/>
        <v>-</v>
      </c>
      <c r="AJ262" s="82">
        <f t="shared" si="113"/>
        <v>7</v>
      </c>
      <c r="AK262" s="82" t="str">
        <f t="shared" si="114"/>
        <v>-</v>
      </c>
      <c r="AL262" s="82" t="str">
        <f t="shared" si="115"/>
        <v>Identifica este registro como MUJER</v>
      </c>
      <c r="AM262" s="82" t="str">
        <f t="shared" si="116"/>
        <v>-</v>
      </c>
      <c r="AN262" s="82" t="str">
        <f t="shared" si="117"/>
        <v>-</v>
      </c>
      <c r="AO262" s="82" t="str">
        <f t="shared" si="118"/>
        <v>-</v>
      </c>
      <c r="AP262" s="57" t="str">
        <f t="shared" si="119"/>
        <v>-</v>
      </c>
      <c r="AQ262" s="86" t="str">
        <f t="shared" si="120"/>
        <v>-</v>
      </c>
      <c r="AR262" s="86" t="str">
        <f>IF(N262="","PRIMER_DIA en blanco",
IF(AND(M262="01",N262&gt;=L_Conversion!$C$118,N262&lt;=L_Conversion!$D$118),"-",
IF(AND(M262="02",N262&gt;=L_Conversion!$C$119,N262&lt;=L_Conversion!$D$119),"-",
IF(AND(M262="03",N262&gt;=L_Conversion!$C$120,N262&lt;=L_Conversion!$D$120),"-",
IF(AND(M262="04",N262&gt;=L_Conversion!$C$121,N262&lt;=L_Conversion!$D$121),"-",
IF(AND(M262="05",N262&gt;=L_Conversion!$C$122,N262&lt;=L_Conversion!$D$122),"-",
IF(AND(M262="06",N262&gt;=L_Conversion!$C$123,N262&lt;=L_Conversion!$D$123),"-",
IF(AND(M262="07",N262&gt;=L_Conversion!$C$124,N262&lt;=L_Conversion!$D$124),"-",
IF(AND(M262="08",N262&gt;=L_Conversion!$C$125,N262&lt;=L_Conversion!$D$125),"-",
IF(AND(M262="09",N262&gt;=L_Conversion!$C$126,N262&lt;=L_Conversion!$D$126),"-",
IF(AND(M262="10",N262&gt;=L_Conversion!$C$127,N262&lt;=L_Conversion!$D$127),"-",
IF(AND(M262="11",N262&gt;=L_Conversion!$C$128,N262&lt;=L_Conversion!$D$128),"-",
IF(AND(M262="12",N262&gt;=L_Conversion!$C$129,N262&lt;=L_Conversion!$D$129),"-",
IF(AND(M262="13",N262&gt;=L_Conversion!$C$116,N262&lt;=L_Conversion!$D$116),"-",
IF(AND(M262="14",N262&gt;=L_Conversion!$C$117,N262&lt;=L_Conversion!$D$117),"-",
"PRIMER_DIA fuera de rango")))))))))))))))</f>
        <v>-</v>
      </c>
      <c r="AS262" s="86" t="str">
        <f t="shared" si="121"/>
        <v>-</v>
      </c>
      <c r="AT262" s="86" t="str">
        <f t="shared" si="122"/>
        <v>-</v>
      </c>
      <c r="AU262" s="86" t="str">
        <f t="shared" si="123"/>
        <v>-</v>
      </c>
      <c r="AV262" s="86" t="str">
        <f t="shared" si="124"/>
        <v>-</v>
      </c>
      <c r="AW262" s="86" t="str">
        <f t="shared" si="125"/>
        <v>-</v>
      </c>
      <c r="AX262" s="86" t="str">
        <f t="shared" si="126"/>
        <v>-</v>
      </c>
      <c r="AY262" s="86" t="str">
        <f t="shared" si="127"/>
        <v>-</v>
      </c>
      <c r="AZ262" s="86" t="str">
        <f t="shared" si="128"/>
        <v>-</v>
      </c>
      <c r="BA262" s="86" t="str">
        <f t="shared" si="129"/>
        <v>-</v>
      </c>
      <c r="BB262" s="86" t="str">
        <f t="shared" si="130"/>
        <v>-</v>
      </c>
      <c r="BC262" s="86" t="str">
        <f t="shared" si="131"/>
        <v>-</v>
      </c>
      <c r="BD262" s="86" t="str">
        <f t="shared" si="132"/>
        <v>-</v>
      </c>
      <c r="BE262" s="86" t="str">
        <f t="shared" si="133"/>
        <v>-</v>
      </c>
      <c r="BF262" s="86" t="str">
        <f t="shared" si="134"/>
        <v>-</v>
      </c>
    </row>
    <row r="263" spans="1:58" x14ac:dyDescent="0.2">
      <c r="A263" s="19" t="s">
        <v>1144</v>
      </c>
      <c r="B263" s="19" t="s">
        <v>76</v>
      </c>
      <c r="C263" s="19">
        <v>18912622</v>
      </c>
      <c r="D263" s="81">
        <v>0</v>
      </c>
      <c r="E263" s="19" t="s">
        <v>1423</v>
      </c>
      <c r="F263" s="19" t="s">
        <v>1424</v>
      </c>
      <c r="G263" s="19" t="s">
        <v>1425</v>
      </c>
      <c r="H263" s="19" t="s">
        <v>1033</v>
      </c>
      <c r="I263" s="19" t="s">
        <v>662</v>
      </c>
      <c r="J263" s="19">
        <v>80</v>
      </c>
      <c r="K263" s="19" t="s">
        <v>563</v>
      </c>
      <c r="L263" s="19" t="s">
        <v>502</v>
      </c>
      <c r="M263" s="19" t="s">
        <v>16</v>
      </c>
      <c r="N263" s="19">
        <v>45724</v>
      </c>
      <c r="O263" s="19">
        <v>15</v>
      </c>
      <c r="P263" s="81">
        <v>1</v>
      </c>
      <c r="Q263" s="19" t="s">
        <v>23</v>
      </c>
      <c r="R263" s="19" t="s">
        <v>11</v>
      </c>
      <c r="S263" s="19" t="s">
        <v>23</v>
      </c>
      <c r="T263" s="19">
        <v>15</v>
      </c>
      <c r="U263" s="19" t="s">
        <v>11</v>
      </c>
      <c r="V263" s="19" t="s">
        <v>11</v>
      </c>
      <c r="W263" s="19" t="s">
        <v>19</v>
      </c>
      <c r="X263" s="19">
        <v>344035</v>
      </c>
      <c r="Y263" s="19" t="s">
        <v>735</v>
      </c>
      <c r="Z263" s="19">
        <v>15</v>
      </c>
      <c r="AA263" s="19">
        <v>344035</v>
      </c>
      <c r="AB263" s="19">
        <v>344035</v>
      </c>
      <c r="AC263" s="178" t="str">
        <f>IF(OR(M263="13",M263="14",P263=8),"",IF(AND(OR(S263="AUTORIZADO", S263="PENDIENTE", S263="REDUCIDO", S263="AMPLIADO"),L263&lt;&gt;"HONORARIO" ), CONCATENATE(IF(H263="X","H",H263),"_",IF(OR(P263=5,P263=6),_xlfn.CONCAT(P263,"A"),P263),"_",VLOOKUP(T263,Datos!$B$2:$C$5,2,TRUE)),""))</f>
        <v>M_1_[11 +]</v>
      </c>
      <c r="AD263" s="178">
        <f t="shared" si="108"/>
        <v>688070</v>
      </c>
      <c r="AE263" s="82" t="str">
        <f t="shared" si="109"/>
        <v>-</v>
      </c>
      <c r="AF263" s="83" t="str">
        <f t="shared" si="110"/>
        <v>070601</v>
      </c>
      <c r="AG263" s="84"/>
      <c r="AH263" s="85" t="str">
        <f t="shared" si="111"/>
        <v>Corporación de Fomento de la Producción</v>
      </c>
      <c r="AI263" s="82" t="str">
        <f t="shared" si="112"/>
        <v>-</v>
      </c>
      <c r="AJ263" s="82">
        <f t="shared" si="113"/>
        <v>0</v>
      </c>
      <c r="AK263" s="82" t="str">
        <f t="shared" si="114"/>
        <v>-</v>
      </c>
      <c r="AL263" s="82" t="str">
        <f t="shared" si="115"/>
        <v>Identifica este registro como MUJER</v>
      </c>
      <c r="AM263" s="82" t="str">
        <f t="shared" si="116"/>
        <v>-</v>
      </c>
      <c r="AN263" s="82" t="str">
        <f t="shared" si="117"/>
        <v>-</v>
      </c>
      <c r="AO263" s="82" t="str">
        <f t="shared" si="118"/>
        <v>-</v>
      </c>
      <c r="AP263" s="57" t="str">
        <f t="shared" si="119"/>
        <v>-</v>
      </c>
      <c r="AQ263" s="86" t="str">
        <f t="shared" si="120"/>
        <v>-</v>
      </c>
      <c r="AR263" s="86" t="str">
        <f>IF(N263="","PRIMER_DIA en blanco",
IF(AND(M263="01",N263&gt;=L_Conversion!$C$118,N263&lt;=L_Conversion!$D$118),"-",
IF(AND(M263="02",N263&gt;=L_Conversion!$C$119,N263&lt;=L_Conversion!$D$119),"-",
IF(AND(M263="03",N263&gt;=L_Conversion!$C$120,N263&lt;=L_Conversion!$D$120),"-",
IF(AND(M263="04",N263&gt;=L_Conversion!$C$121,N263&lt;=L_Conversion!$D$121),"-",
IF(AND(M263="05",N263&gt;=L_Conversion!$C$122,N263&lt;=L_Conversion!$D$122),"-",
IF(AND(M263="06",N263&gt;=L_Conversion!$C$123,N263&lt;=L_Conversion!$D$123),"-",
IF(AND(M263="07",N263&gt;=L_Conversion!$C$124,N263&lt;=L_Conversion!$D$124),"-",
IF(AND(M263="08",N263&gt;=L_Conversion!$C$125,N263&lt;=L_Conversion!$D$125),"-",
IF(AND(M263="09",N263&gt;=L_Conversion!$C$126,N263&lt;=L_Conversion!$D$126),"-",
IF(AND(M263="10",N263&gt;=L_Conversion!$C$127,N263&lt;=L_Conversion!$D$127),"-",
IF(AND(M263="11",N263&gt;=L_Conversion!$C$128,N263&lt;=L_Conversion!$D$128),"-",
IF(AND(M263="12",N263&gt;=L_Conversion!$C$129,N263&lt;=L_Conversion!$D$129),"-",
IF(AND(M263="13",N263&gt;=L_Conversion!$C$116,N263&lt;=L_Conversion!$D$116),"-",
IF(AND(M263="14",N263&gt;=L_Conversion!$C$117,N263&lt;=L_Conversion!$D$117),"-",
"PRIMER_DIA fuera de rango")))))))))))))))</f>
        <v>-</v>
      </c>
      <c r="AS263" s="86" t="str">
        <f t="shared" si="121"/>
        <v>-</v>
      </c>
      <c r="AT263" s="86" t="str">
        <f t="shared" si="122"/>
        <v>-</v>
      </c>
      <c r="AU263" s="86" t="str">
        <f t="shared" si="123"/>
        <v>-</v>
      </c>
      <c r="AV263" s="86" t="str">
        <f t="shared" si="124"/>
        <v>-</v>
      </c>
      <c r="AW263" s="86" t="str">
        <f t="shared" si="125"/>
        <v>-</v>
      </c>
      <c r="AX263" s="86" t="str">
        <f t="shared" si="126"/>
        <v>-</v>
      </c>
      <c r="AY263" s="86" t="str">
        <f t="shared" si="127"/>
        <v>-</v>
      </c>
      <c r="AZ263" s="86" t="str">
        <f t="shared" si="128"/>
        <v>-</v>
      </c>
      <c r="BA263" s="86" t="str">
        <f t="shared" si="129"/>
        <v>-</v>
      </c>
      <c r="BB263" s="86" t="str">
        <f t="shared" si="130"/>
        <v>-</v>
      </c>
      <c r="BC263" s="86" t="str">
        <f t="shared" si="131"/>
        <v>-</v>
      </c>
      <c r="BD263" s="86" t="str">
        <f t="shared" si="132"/>
        <v>-</v>
      </c>
      <c r="BE263" s="86" t="str">
        <f t="shared" si="133"/>
        <v>-</v>
      </c>
      <c r="BF263" s="86" t="str">
        <f t="shared" si="134"/>
        <v>-</v>
      </c>
    </row>
    <row r="264" spans="1:58" x14ac:dyDescent="0.2">
      <c r="A264" s="19" t="s">
        <v>1144</v>
      </c>
      <c r="B264" s="19" t="s">
        <v>76</v>
      </c>
      <c r="C264" s="19">
        <v>14191188</v>
      </c>
      <c r="D264" s="81">
        <v>0</v>
      </c>
      <c r="E264" s="19" t="s">
        <v>1454</v>
      </c>
      <c r="F264" s="19" t="s">
        <v>1455</v>
      </c>
      <c r="G264" s="19" t="s">
        <v>1456</v>
      </c>
      <c r="H264" s="19" t="s">
        <v>1033</v>
      </c>
      <c r="I264" s="19" t="s">
        <v>662</v>
      </c>
      <c r="J264" s="19">
        <v>80</v>
      </c>
      <c r="K264" s="19" t="s">
        <v>563</v>
      </c>
      <c r="L264" s="19" t="s">
        <v>502</v>
      </c>
      <c r="M264" s="19" t="s">
        <v>16</v>
      </c>
      <c r="N264" s="19">
        <v>45726</v>
      </c>
      <c r="O264" s="19">
        <v>5</v>
      </c>
      <c r="P264" s="81">
        <v>1</v>
      </c>
      <c r="Q264" s="19" t="s">
        <v>23</v>
      </c>
      <c r="R264" s="19" t="s">
        <v>11</v>
      </c>
      <c r="S264" s="19" t="s">
        <v>23</v>
      </c>
      <c r="T264" s="19">
        <v>5</v>
      </c>
      <c r="U264" s="19" t="s">
        <v>11</v>
      </c>
      <c r="V264" s="19" t="s">
        <v>11</v>
      </c>
      <c r="W264" s="19" t="s">
        <v>19</v>
      </c>
      <c r="X264" s="19">
        <v>278951</v>
      </c>
      <c r="Y264" s="19" t="s">
        <v>735</v>
      </c>
      <c r="Z264" s="19">
        <v>5</v>
      </c>
      <c r="AA264" s="19">
        <v>278951</v>
      </c>
      <c r="AB264" s="19">
        <v>278951</v>
      </c>
      <c r="AC264" s="178" t="str">
        <f>IF(OR(M264="13",M264="14",P264=8),"",IF(AND(OR(S264="AUTORIZADO", S264="PENDIENTE", S264="REDUCIDO", S264="AMPLIADO"),L264&lt;&gt;"HONORARIO" ), CONCATENATE(IF(H264="X","H",H264),"_",IF(OR(P264=5,P264=6),_xlfn.CONCAT(P264,"A"),P264),"_",VLOOKUP(T264,Datos!$B$2:$C$5,2,TRUE)),""))</f>
        <v>M_1_[4 a 10]</v>
      </c>
      <c r="AD264" s="178">
        <f t="shared" si="108"/>
        <v>557902</v>
      </c>
      <c r="AE264" s="82" t="str">
        <f t="shared" si="109"/>
        <v>-</v>
      </c>
      <c r="AF264" s="83" t="str">
        <f t="shared" si="110"/>
        <v>070601</v>
      </c>
      <c r="AG264" s="84"/>
      <c r="AH264" s="85" t="str">
        <f t="shared" si="111"/>
        <v>Corporación de Fomento de la Producción</v>
      </c>
      <c r="AI264" s="82" t="str">
        <f t="shared" si="112"/>
        <v>-</v>
      </c>
      <c r="AJ264" s="82">
        <f t="shared" si="113"/>
        <v>0</v>
      </c>
      <c r="AK264" s="82" t="str">
        <f t="shared" si="114"/>
        <v>-</v>
      </c>
      <c r="AL264" s="82" t="str">
        <f t="shared" si="115"/>
        <v>Identifica este registro como MUJER</v>
      </c>
      <c r="AM264" s="82" t="str">
        <f t="shared" si="116"/>
        <v>-</v>
      </c>
      <c r="AN264" s="82" t="str">
        <f t="shared" si="117"/>
        <v>-</v>
      </c>
      <c r="AO264" s="82" t="str">
        <f t="shared" si="118"/>
        <v>-</v>
      </c>
      <c r="AP264" s="57" t="str">
        <f t="shared" si="119"/>
        <v>-</v>
      </c>
      <c r="AQ264" s="86" t="str">
        <f t="shared" si="120"/>
        <v>-</v>
      </c>
      <c r="AR264" s="86" t="str">
        <f>IF(N264="","PRIMER_DIA en blanco",
IF(AND(M264="01",N264&gt;=L_Conversion!$C$118,N264&lt;=L_Conversion!$D$118),"-",
IF(AND(M264="02",N264&gt;=L_Conversion!$C$119,N264&lt;=L_Conversion!$D$119),"-",
IF(AND(M264="03",N264&gt;=L_Conversion!$C$120,N264&lt;=L_Conversion!$D$120),"-",
IF(AND(M264="04",N264&gt;=L_Conversion!$C$121,N264&lt;=L_Conversion!$D$121),"-",
IF(AND(M264="05",N264&gt;=L_Conversion!$C$122,N264&lt;=L_Conversion!$D$122),"-",
IF(AND(M264="06",N264&gt;=L_Conversion!$C$123,N264&lt;=L_Conversion!$D$123),"-",
IF(AND(M264="07",N264&gt;=L_Conversion!$C$124,N264&lt;=L_Conversion!$D$124),"-",
IF(AND(M264="08",N264&gt;=L_Conversion!$C$125,N264&lt;=L_Conversion!$D$125),"-",
IF(AND(M264="09",N264&gt;=L_Conversion!$C$126,N264&lt;=L_Conversion!$D$126),"-",
IF(AND(M264="10",N264&gt;=L_Conversion!$C$127,N264&lt;=L_Conversion!$D$127),"-",
IF(AND(M264="11",N264&gt;=L_Conversion!$C$128,N264&lt;=L_Conversion!$D$128),"-",
IF(AND(M264="12",N264&gt;=L_Conversion!$C$129,N264&lt;=L_Conversion!$D$129),"-",
IF(AND(M264="13",N264&gt;=L_Conversion!$C$116,N264&lt;=L_Conversion!$D$116),"-",
IF(AND(M264="14",N264&gt;=L_Conversion!$C$117,N264&lt;=L_Conversion!$D$117),"-",
"PRIMER_DIA fuera de rango")))))))))))))))</f>
        <v>-</v>
      </c>
      <c r="AS264" s="86" t="str">
        <f t="shared" si="121"/>
        <v>-</v>
      </c>
      <c r="AT264" s="86" t="str">
        <f t="shared" si="122"/>
        <v>-</v>
      </c>
      <c r="AU264" s="86" t="str">
        <f t="shared" si="123"/>
        <v>-</v>
      </c>
      <c r="AV264" s="86" t="str">
        <f t="shared" si="124"/>
        <v>-</v>
      </c>
      <c r="AW264" s="86" t="str">
        <f t="shared" si="125"/>
        <v>-</v>
      </c>
      <c r="AX264" s="86" t="str">
        <f t="shared" si="126"/>
        <v>-</v>
      </c>
      <c r="AY264" s="86" t="str">
        <f t="shared" si="127"/>
        <v>-</v>
      </c>
      <c r="AZ264" s="86" t="str">
        <f t="shared" si="128"/>
        <v>-</v>
      </c>
      <c r="BA264" s="86" t="str">
        <f t="shared" si="129"/>
        <v>-</v>
      </c>
      <c r="BB264" s="86" t="str">
        <f t="shared" si="130"/>
        <v>-</v>
      </c>
      <c r="BC264" s="86" t="str">
        <f t="shared" si="131"/>
        <v>-</v>
      </c>
      <c r="BD264" s="86" t="str">
        <f t="shared" si="132"/>
        <v>-</v>
      </c>
      <c r="BE264" s="86" t="str">
        <f t="shared" si="133"/>
        <v>-</v>
      </c>
      <c r="BF264" s="86" t="str">
        <f t="shared" si="134"/>
        <v>-</v>
      </c>
    </row>
    <row r="265" spans="1:58" x14ac:dyDescent="0.2">
      <c r="A265" s="19" t="s">
        <v>1144</v>
      </c>
      <c r="B265" s="19" t="s">
        <v>76</v>
      </c>
      <c r="C265" s="19">
        <v>15354381</v>
      </c>
      <c r="D265" s="81" t="s">
        <v>1151</v>
      </c>
      <c r="E265" s="19" t="s">
        <v>1574</v>
      </c>
      <c r="F265" s="19" t="s">
        <v>1167</v>
      </c>
      <c r="G265" s="19" t="s">
        <v>1575</v>
      </c>
      <c r="H265" s="19" t="s">
        <v>663</v>
      </c>
      <c r="I265" s="19" t="s">
        <v>662</v>
      </c>
      <c r="J265" s="19">
        <v>80</v>
      </c>
      <c r="K265" s="19" t="s">
        <v>563</v>
      </c>
      <c r="L265" s="19" t="s">
        <v>502</v>
      </c>
      <c r="M265" s="19" t="s">
        <v>16</v>
      </c>
      <c r="N265" s="19">
        <v>45726</v>
      </c>
      <c r="O265" s="19">
        <v>12</v>
      </c>
      <c r="P265" s="81">
        <v>1</v>
      </c>
      <c r="Q265" s="19" t="s">
        <v>23</v>
      </c>
      <c r="R265" s="19" t="s">
        <v>11</v>
      </c>
      <c r="S265" s="19" t="s">
        <v>23</v>
      </c>
      <c r="T265" s="19">
        <v>12</v>
      </c>
      <c r="U265" s="19" t="s">
        <v>11</v>
      </c>
      <c r="V265" s="19" t="s">
        <v>11</v>
      </c>
      <c r="W265" s="19" t="s">
        <v>19</v>
      </c>
      <c r="X265" s="19">
        <v>1297503</v>
      </c>
      <c r="Y265" s="19" t="s">
        <v>735</v>
      </c>
      <c r="Z265" s="19">
        <v>12</v>
      </c>
      <c r="AA265" s="19">
        <v>1297503</v>
      </c>
      <c r="AB265" s="19">
        <v>1297503</v>
      </c>
      <c r="AC265" s="178" t="str">
        <f>IF(OR(M265="13",M265="14",P265=8),"",IF(AND(OR(S265="AUTORIZADO", S265="PENDIENTE", S265="REDUCIDO", S265="AMPLIADO"),L265&lt;&gt;"HONORARIO" ), CONCATENATE(IF(H265="X","H",H265),"_",IF(OR(P265=5,P265=6),_xlfn.CONCAT(P265,"A"),P265),"_",VLOOKUP(T265,Datos!$B$2:$C$5,2,TRUE)),""))</f>
        <v>H_1_[11 +]</v>
      </c>
      <c r="AD265" s="178">
        <f t="shared" si="108"/>
        <v>2595006</v>
      </c>
      <c r="AE265" s="82" t="str">
        <f t="shared" si="109"/>
        <v>-</v>
      </c>
      <c r="AF265" s="83" t="str">
        <f t="shared" si="110"/>
        <v>070601</v>
      </c>
      <c r="AG265" s="84"/>
      <c r="AH265" s="85" t="str">
        <f t="shared" si="111"/>
        <v>Corporación de Fomento de la Producción</v>
      </c>
      <c r="AI265" s="82" t="str">
        <f t="shared" si="112"/>
        <v>-</v>
      </c>
      <c r="AJ265" s="82" t="str">
        <f t="shared" si="113"/>
        <v>K</v>
      </c>
      <c r="AK265" s="82" t="str">
        <f t="shared" si="114"/>
        <v>-</v>
      </c>
      <c r="AL265" s="82" t="str">
        <f t="shared" si="115"/>
        <v>Identifica este registro como HOMBRE</v>
      </c>
      <c r="AM265" s="82" t="str">
        <f t="shared" si="116"/>
        <v>-</v>
      </c>
      <c r="AN265" s="82" t="str">
        <f t="shared" si="117"/>
        <v>-</v>
      </c>
      <c r="AO265" s="82" t="str">
        <f t="shared" si="118"/>
        <v>-</v>
      </c>
      <c r="AP265" s="57" t="str">
        <f t="shared" si="119"/>
        <v>-</v>
      </c>
      <c r="AQ265" s="86" t="str">
        <f t="shared" si="120"/>
        <v>-</v>
      </c>
      <c r="AR265" s="86" t="str">
        <f>IF(N265="","PRIMER_DIA en blanco",
IF(AND(M265="01",N265&gt;=L_Conversion!$C$118,N265&lt;=L_Conversion!$D$118),"-",
IF(AND(M265="02",N265&gt;=L_Conversion!$C$119,N265&lt;=L_Conversion!$D$119),"-",
IF(AND(M265="03",N265&gt;=L_Conversion!$C$120,N265&lt;=L_Conversion!$D$120),"-",
IF(AND(M265="04",N265&gt;=L_Conversion!$C$121,N265&lt;=L_Conversion!$D$121),"-",
IF(AND(M265="05",N265&gt;=L_Conversion!$C$122,N265&lt;=L_Conversion!$D$122),"-",
IF(AND(M265="06",N265&gt;=L_Conversion!$C$123,N265&lt;=L_Conversion!$D$123),"-",
IF(AND(M265="07",N265&gt;=L_Conversion!$C$124,N265&lt;=L_Conversion!$D$124),"-",
IF(AND(M265="08",N265&gt;=L_Conversion!$C$125,N265&lt;=L_Conversion!$D$125),"-",
IF(AND(M265="09",N265&gt;=L_Conversion!$C$126,N265&lt;=L_Conversion!$D$126),"-",
IF(AND(M265="10",N265&gt;=L_Conversion!$C$127,N265&lt;=L_Conversion!$D$127),"-",
IF(AND(M265="11",N265&gt;=L_Conversion!$C$128,N265&lt;=L_Conversion!$D$128),"-",
IF(AND(M265="12",N265&gt;=L_Conversion!$C$129,N265&lt;=L_Conversion!$D$129),"-",
IF(AND(M265="13",N265&gt;=L_Conversion!$C$116,N265&lt;=L_Conversion!$D$116),"-",
IF(AND(M265="14",N265&gt;=L_Conversion!$C$117,N265&lt;=L_Conversion!$D$117),"-",
"PRIMER_DIA fuera de rango")))))))))))))))</f>
        <v>-</v>
      </c>
      <c r="AS265" s="86" t="str">
        <f t="shared" si="121"/>
        <v>-</v>
      </c>
      <c r="AT265" s="86" t="str">
        <f t="shared" si="122"/>
        <v>-</v>
      </c>
      <c r="AU265" s="86" t="str">
        <f t="shared" si="123"/>
        <v>-</v>
      </c>
      <c r="AV265" s="86" t="str">
        <f t="shared" si="124"/>
        <v>-</v>
      </c>
      <c r="AW265" s="86" t="str">
        <f t="shared" si="125"/>
        <v>-</v>
      </c>
      <c r="AX265" s="86" t="str">
        <f t="shared" si="126"/>
        <v>-</v>
      </c>
      <c r="AY265" s="86" t="str">
        <f t="shared" si="127"/>
        <v>-</v>
      </c>
      <c r="AZ265" s="86" t="str">
        <f t="shared" si="128"/>
        <v>-</v>
      </c>
      <c r="BA265" s="86" t="str">
        <f t="shared" si="129"/>
        <v>-</v>
      </c>
      <c r="BB265" s="86" t="str">
        <f t="shared" si="130"/>
        <v>-</v>
      </c>
      <c r="BC265" s="86" t="str">
        <f t="shared" si="131"/>
        <v>-</v>
      </c>
      <c r="BD265" s="86" t="str">
        <f t="shared" si="132"/>
        <v>-</v>
      </c>
      <c r="BE265" s="86" t="str">
        <f t="shared" si="133"/>
        <v>-</v>
      </c>
      <c r="BF265" s="86" t="str">
        <f t="shared" si="134"/>
        <v>-</v>
      </c>
    </row>
    <row r="266" spans="1:58" x14ac:dyDescent="0.2">
      <c r="A266" s="19" t="s">
        <v>1144</v>
      </c>
      <c r="B266" s="19" t="s">
        <v>76</v>
      </c>
      <c r="C266" s="19">
        <v>16512648</v>
      </c>
      <c r="D266" s="81">
        <v>3</v>
      </c>
      <c r="E266" s="19" t="s">
        <v>1502</v>
      </c>
      <c r="F266" s="19" t="s">
        <v>1576</v>
      </c>
      <c r="G266" s="19" t="s">
        <v>1577</v>
      </c>
      <c r="H266" s="19" t="s">
        <v>663</v>
      </c>
      <c r="I266" s="19" t="s">
        <v>663</v>
      </c>
      <c r="J266" s="19">
        <v>80</v>
      </c>
      <c r="K266" s="19" t="s">
        <v>563</v>
      </c>
      <c r="L266" s="19" t="s">
        <v>516</v>
      </c>
      <c r="M266" s="19" t="s">
        <v>16</v>
      </c>
      <c r="N266" s="19">
        <v>45726</v>
      </c>
      <c r="O266" s="19">
        <v>2</v>
      </c>
      <c r="P266" s="81">
        <v>1</v>
      </c>
      <c r="Q266" s="19" t="s">
        <v>23</v>
      </c>
      <c r="R266" s="19" t="s">
        <v>11</v>
      </c>
      <c r="S266" s="19" t="s">
        <v>23</v>
      </c>
      <c r="T266" s="19">
        <v>2</v>
      </c>
      <c r="U266" s="19" t="s">
        <v>11</v>
      </c>
      <c r="V266" s="19" t="s">
        <v>19</v>
      </c>
      <c r="W266" s="19" t="s">
        <v>19</v>
      </c>
      <c r="X266" s="19">
        <v>39232</v>
      </c>
      <c r="Y266" s="19" t="s">
        <v>735</v>
      </c>
      <c r="Z266" s="19">
        <v>2</v>
      </c>
      <c r="AA266" s="19">
        <v>39232</v>
      </c>
      <c r="AB266" s="19">
        <v>39232</v>
      </c>
      <c r="AC266" s="178" t="str">
        <f>IF(OR(M266="13",M266="14",P266=8),"",IF(AND(OR(S266="AUTORIZADO", S266="PENDIENTE", S266="REDUCIDO", S266="AMPLIADO"),L266&lt;&gt;"HONORARIO" ), CONCATENATE(IF(H266="X","H",H266),"_",IF(OR(P266=5,P266=6),_xlfn.CONCAT(P266,"A"),P266),"_",VLOOKUP(T266,Datos!$B$2:$C$5,2,TRUE)),""))</f>
        <v>H_1_[hasta 3]</v>
      </c>
      <c r="AD266" s="178">
        <f t="shared" si="108"/>
        <v>78464</v>
      </c>
      <c r="AE266" s="82" t="str">
        <f t="shared" si="109"/>
        <v>-</v>
      </c>
      <c r="AF266" s="83" t="str">
        <f t="shared" si="110"/>
        <v>070601</v>
      </c>
      <c r="AG266" s="84"/>
      <c r="AH266" s="85" t="str">
        <f t="shared" si="111"/>
        <v>Corporación de Fomento de la Producción</v>
      </c>
      <c r="AI266" s="82" t="str">
        <f t="shared" si="112"/>
        <v>-</v>
      </c>
      <c r="AJ266" s="82">
        <f t="shared" si="113"/>
        <v>3</v>
      </c>
      <c r="AK266" s="82" t="str">
        <f t="shared" si="114"/>
        <v>-</v>
      </c>
      <c r="AL266" s="82" t="str">
        <f t="shared" si="115"/>
        <v>Identifica este registro como HOMBRE</v>
      </c>
      <c r="AM266" s="82" t="str">
        <f t="shared" si="116"/>
        <v>-</v>
      </c>
      <c r="AN266" s="82" t="str">
        <f t="shared" si="117"/>
        <v>-</v>
      </c>
      <c r="AO266" s="82" t="str">
        <f t="shared" si="118"/>
        <v>-</v>
      </c>
      <c r="AP266" s="57" t="str">
        <f t="shared" si="119"/>
        <v>-</v>
      </c>
      <c r="AQ266" s="86" t="str">
        <f t="shared" si="120"/>
        <v>-</v>
      </c>
      <c r="AR266" s="86" t="str">
        <f>IF(N266="","PRIMER_DIA en blanco",
IF(AND(M266="01",N266&gt;=L_Conversion!$C$118,N266&lt;=L_Conversion!$D$118),"-",
IF(AND(M266="02",N266&gt;=L_Conversion!$C$119,N266&lt;=L_Conversion!$D$119),"-",
IF(AND(M266="03",N266&gt;=L_Conversion!$C$120,N266&lt;=L_Conversion!$D$120),"-",
IF(AND(M266="04",N266&gt;=L_Conversion!$C$121,N266&lt;=L_Conversion!$D$121),"-",
IF(AND(M266="05",N266&gt;=L_Conversion!$C$122,N266&lt;=L_Conversion!$D$122),"-",
IF(AND(M266="06",N266&gt;=L_Conversion!$C$123,N266&lt;=L_Conversion!$D$123),"-",
IF(AND(M266="07",N266&gt;=L_Conversion!$C$124,N266&lt;=L_Conversion!$D$124),"-",
IF(AND(M266="08",N266&gt;=L_Conversion!$C$125,N266&lt;=L_Conversion!$D$125),"-",
IF(AND(M266="09",N266&gt;=L_Conversion!$C$126,N266&lt;=L_Conversion!$D$126),"-",
IF(AND(M266="10",N266&gt;=L_Conversion!$C$127,N266&lt;=L_Conversion!$D$127),"-",
IF(AND(M266="11",N266&gt;=L_Conversion!$C$128,N266&lt;=L_Conversion!$D$128),"-",
IF(AND(M266="12",N266&gt;=L_Conversion!$C$129,N266&lt;=L_Conversion!$D$129),"-",
IF(AND(M266="13",N266&gt;=L_Conversion!$C$116,N266&lt;=L_Conversion!$D$116),"-",
IF(AND(M266="14",N266&gt;=L_Conversion!$C$117,N266&lt;=L_Conversion!$D$117),"-",
"PRIMER_DIA fuera de rango")))))))))))))))</f>
        <v>-</v>
      </c>
      <c r="AS266" s="86" t="str">
        <f t="shared" si="121"/>
        <v>-</v>
      </c>
      <c r="AT266" s="86" t="str">
        <f t="shared" si="122"/>
        <v>-</v>
      </c>
      <c r="AU266" s="86" t="str">
        <f t="shared" si="123"/>
        <v>-</v>
      </c>
      <c r="AV266" s="86" t="str">
        <f t="shared" si="124"/>
        <v>-</v>
      </c>
      <c r="AW266" s="86" t="str">
        <f t="shared" si="125"/>
        <v>-</v>
      </c>
      <c r="AX266" s="86" t="str">
        <f t="shared" si="126"/>
        <v>-</v>
      </c>
      <c r="AY266" s="86" t="str">
        <f t="shared" si="127"/>
        <v>-</v>
      </c>
      <c r="AZ266" s="86" t="str">
        <f t="shared" si="128"/>
        <v>-</v>
      </c>
      <c r="BA266" s="86" t="str">
        <f t="shared" si="129"/>
        <v>-</v>
      </c>
      <c r="BB266" s="86" t="str">
        <f t="shared" si="130"/>
        <v>-</v>
      </c>
      <c r="BC266" s="86" t="str">
        <f t="shared" si="131"/>
        <v>-</v>
      </c>
      <c r="BD266" s="86" t="str">
        <f t="shared" si="132"/>
        <v>-</v>
      </c>
      <c r="BE266" s="86" t="str">
        <f t="shared" si="133"/>
        <v>-</v>
      </c>
      <c r="BF266" s="86" t="str">
        <f t="shared" si="134"/>
        <v>-</v>
      </c>
    </row>
    <row r="267" spans="1:58" x14ac:dyDescent="0.2">
      <c r="A267" s="19" t="s">
        <v>1144</v>
      </c>
      <c r="B267" s="19" t="s">
        <v>76</v>
      </c>
      <c r="C267" s="19">
        <v>17316812</v>
      </c>
      <c r="D267" s="81">
        <v>8</v>
      </c>
      <c r="E267" s="19" t="s">
        <v>1154</v>
      </c>
      <c r="F267" s="19" t="s">
        <v>1412</v>
      </c>
      <c r="G267" s="19" t="s">
        <v>1413</v>
      </c>
      <c r="H267" s="19" t="s">
        <v>663</v>
      </c>
      <c r="I267" s="19" t="s">
        <v>662</v>
      </c>
      <c r="J267" s="19">
        <v>80</v>
      </c>
      <c r="K267" s="19" t="s">
        <v>563</v>
      </c>
      <c r="L267" s="19" t="s">
        <v>502</v>
      </c>
      <c r="M267" s="19" t="s">
        <v>16</v>
      </c>
      <c r="N267" s="19">
        <v>45726</v>
      </c>
      <c r="O267" s="19">
        <v>15</v>
      </c>
      <c r="P267" s="81">
        <v>1</v>
      </c>
      <c r="Q267" s="19" t="s">
        <v>23</v>
      </c>
      <c r="R267" s="19" t="s">
        <v>11</v>
      </c>
      <c r="S267" s="19" t="s">
        <v>23</v>
      </c>
      <c r="T267" s="19">
        <v>15</v>
      </c>
      <c r="U267" s="19" t="s">
        <v>11</v>
      </c>
      <c r="V267" s="19" t="s">
        <v>11</v>
      </c>
      <c r="W267" s="19" t="s">
        <v>19</v>
      </c>
      <c r="X267" s="19">
        <v>1222140</v>
      </c>
      <c r="Y267" s="19" t="s">
        <v>735</v>
      </c>
      <c r="Z267" s="19">
        <v>15</v>
      </c>
      <c r="AA267" s="19">
        <v>1222140</v>
      </c>
      <c r="AB267" s="19">
        <v>1222140</v>
      </c>
      <c r="AC267" s="178" t="str">
        <f>IF(OR(M267="13",M267="14",P267=8),"",IF(AND(OR(S267="AUTORIZADO", S267="PENDIENTE", S267="REDUCIDO", S267="AMPLIADO"),L267&lt;&gt;"HONORARIO" ), CONCATENATE(IF(H267="X","H",H267),"_",IF(OR(P267=5,P267=6),_xlfn.CONCAT(P267,"A"),P267),"_",VLOOKUP(T267,Datos!$B$2:$C$5,2,TRUE)),""))</f>
        <v>H_1_[11 +]</v>
      </c>
      <c r="AD267" s="178">
        <f t="shared" si="108"/>
        <v>2444280</v>
      </c>
      <c r="AE267" s="82" t="str">
        <f t="shared" si="109"/>
        <v>-</v>
      </c>
      <c r="AF267" s="83" t="str">
        <f t="shared" si="110"/>
        <v>070601</v>
      </c>
      <c r="AG267" s="84"/>
      <c r="AH267" s="85" t="str">
        <f t="shared" si="111"/>
        <v>Corporación de Fomento de la Producción</v>
      </c>
      <c r="AI267" s="82" t="str">
        <f t="shared" si="112"/>
        <v>-</v>
      </c>
      <c r="AJ267" s="82">
        <f t="shared" si="113"/>
        <v>8</v>
      </c>
      <c r="AK267" s="82" t="str">
        <f t="shared" si="114"/>
        <v>-</v>
      </c>
      <c r="AL267" s="82" t="str">
        <f t="shared" si="115"/>
        <v>Identifica este registro como HOMBRE</v>
      </c>
      <c r="AM267" s="82" t="str">
        <f t="shared" si="116"/>
        <v>-</v>
      </c>
      <c r="AN267" s="82" t="str">
        <f t="shared" si="117"/>
        <v>-</v>
      </c>
      <c r="AO267" s="82" t="str">
        <f t="shared" si="118"/>
        <v>-</v>
      </c>
      <c r="AP267" s="57" t="str">
        <f t="shared" si="119"/>
        <v>-</v>
      </c>
      <c r="AQ267" s="86" t="str">
        <f t="shared" si="120"/>
        <v>-</v>
      </c>
      <c r="AR267" s="86" t="str">
        <f>IF(N267="","PRIMER_DIA en blanco",
IF(AND(M267="01",N267&gt;=L_Conversion!$C$118,N267&lt;=L_Conversion!$D$118),"-",
IF(AND(M267="02",N267&gt;=L_Conversion!$C$119,N267&lt;=L_Conversion!$D$119),"-",
IF(AND(M267="03",N267&gt;=L_Conversion!$C$120,N267&lt;=L_Conversion!$D$120),"-",
IF(AND(M267="04",N267&gt;=L_Conversion!$C$121,N267&lt;=L_Conversion!$D$121),"-",
IF(AND(M267="05",N267&gt;=L_Conversion!$C$122,N267&lt;=L_Conversion!$D$122),"-",
IF(AND(M267="06",N267&gt;=L_Conversion!$C$123,N267&lt;=L_Conversion!$D$123),"-",
IF(AND(M267="07",N267&gt;=L_Conversion!$C$124,N267&lt;=L_Conversion!$D$124),"-",
IF(AND(M267="08",N267&gt;=L_Conversion!$C$125,N267&lt;=L_Conversion!$D$125),"-",
IF(AND(M267="09",N267&gt;=L_Conversion!$C$126,N267&lt;=L_Conversion!$D$126),"-",
IF(AND(M267="10",N267&gt;=L_Conversion!$C$127,N267&lt;=L_Conversion!$D$127),"-",
IF(AND(M267="11",N267&gt;=L_Conversion!$C$128,N267&lt;=L_Conversion!$D$128),"-",
IF(AND(M267="12",N267&gt;=L_Conversion!$C$129,N267&lt;=L_Conversion!$D$129),"-",
IF(AND(M267="13",N267&gt;=L_Conversion!$C$116,N267&lt;=L_Conversion!$D$116),"-",
IF(AND(M267="14",N267&gt;=L_Conversion!$C$117,N267&lt;=L_Conversion!$D$117),"-",
"PRIMER_DIA fuera de rango")))))))))))))))</f>
        <v>-</v>
      </c>
      <c r="AS267" s="86" t="str">
        <f t="shared" si="121"/>
        <v>-</v>
      </c>
      <c r="AT267" s="86" t="str">
        <f t="shared" si="122"/>
        <v>-</v>
      </c>
      <c r="AU267" s="86" t="str">
        <f t="shared" si="123"/>
        <v>-</v>
      </c>
      <c r="AV267" s="86" t="str">
        <f t="shared" si="124"/>
        <v>-</v>
      </c>
      <c r="AW267" s="86" t="str">
        <f t="shared" si="125"/>
        <v>-</v>
      </c>
      <c r="AX267" s="86" t="str">
        <f t="shared" si="126"/>
        <v>-</v>
      </c>
      <c r="AY267" s="86" t="str">
        <f t="shared" si="127"/>
        <v>-</v>
      </c>
      <c r="AZ267" s="86" t="str">
        <f t="shared" si="128"/>
        <v>-</v>
      </c>
      <c r="BA267" s="86" t="str">
        <f t="shared" si="129"/>
        <v>-</v>
      </c>
      <c r="BB267" s="86" t="str">
        <f t="shared" si="130"/>
        <v>-</v>
      </c>
      <c r="BC267" s="86" t="str">
        <f t="shared" si="131"/>
        <v>-</v>
      </c>
      <c r="BD267" s="86" t="str">
        <f t="shared" si="132"/>
        <v>-</v>
      </c>
      <c r="BE267" s="86" t="str">
        <f t="shared" si="133"/>
        <v>-</v>
      </c>
      <c r="BF267" s="86" t="str">
        <f t="shared" si="134"/>
        <v>-</v>
      </c>
    </row>
    <row r="268" spans="1:58" x14ac:dyDescent="0.2">
      <c r="A268" s="19" t="s">
        <v>1144</v>
      </c>
      <c r="B268" s="19" t="s">
        <v>76</v>
      </c>
      <c r="C268" s="19">
        <v>14621090</v>
      </c>
      <c r="D268" s="81">
        <v>2</v>
      </c>
      <c r="E268" s="19" t="s">
        <v>1578</v>
      </c>
      <c r="F268" s="19" t="s">
        <v>1445</v>
      </c>
      <c r="G268" s="19" t="s">
        <v>1579</v>
      </c>
      <c r="H268" s="19" t="s">
        <v>1033</v>
      </c>
      <c r="I268" s="19" t="s">
        <v>662</v>
      </c>
      <c r="J268" s="19">
        <v>80</v>
      </c>
      <c r="K268" s="19" t="s">
        <v>563</v>
      </c>
      <c r="L268" s="19" t="s">
        <v>502</v>
      </c>
      <c r="M268" s="19" t="s">
        <v>16</v>
      </c>
      <c r="N268" s="19">
        <v>45726</v>
      </c>
      <c r="O268" s="19">
        <v>2</v>
      </c>
      <c r="P268" s="81">
        <v>1</v>
      </c>
      <c r="Q268" s="19" t="s">
        <v>23</v>
      </c>
      <c r="R268" s="19" t="s">
        <v>11</v>
      </c>
      <c r="S268" s="19" t="s">
        <v>23</v>
      </c>
      <c r="T268" s="19">
        <v>2</v>
      </c>
      <c r="U268" s="19" t="s">
        <v>11</v>
      </c>
      <c r="V268" s="19" t="s">
        <v>19</v>
      </c>
      <c r="W268" s="19" t="s">
        <v>19</v>
      </c>
      <c r="X268" s="19">
        <v>42629</v>
      </c>
      <c r="Y268" s="19" t="s">
        <v>735</v>
      </c>
      <c r="Z268" s="19">
        <v>2</v>
      </c>
      <c r="AA268" s="19">
        <v>42629</v>
      </c>
      <c r="AB268" s="19">
        <v>42629</v>
      </c>
      <c r="AC268" s="178" t="str">
        <f>IF(OR(M268="13",M268="14",P268=8),"",IF(AND(OR(S268="AUTORIZADO", S268="PENDIENTE", S268="REDUCIDO", S268="AMPLIADO"),L268&lt;&gt;"HONORARIO" ), CONCATENATE(IF(H268="X","H",H268),"_",IF(OR(P268=5,P268=6),_xlfn.CONCAT(P268,"A"),P268),"_",VLOOKUP(T268,Datos!$B$2:$C$5,2,TRUE)),""))</f>
        <v>M_1_[hasta 3]</v>
      </c>
      <c r="AD268" s="178">
        <f t="shared" si="108"/>
        <v>85258</v>
      </c>
      <c r="AE268" s="82" t="str">
        <f t="shared" si="109"/>
        <v>-</v>
      </c>
      <c r="AF268" s="83" t="str">
        <f t="shared" si="110"/>
        <v>070601</v>
      </c>
      <c r="AG268" s="84"/>
      <c r="AH268" s="85" t="str">
        <f t="shared" si="111"/>
        <v>Corporación de Fomento de la Producción</v>
      </c>
      <c r="AI268" s="82" t="str">
        <f t="shared" si="112"/>
        <v>-</v>
      </c>
      <c r="AJ268" s="82">
        <f t="shared" si="113"/>
        <v>2</v>
      </c>
      <c r="AK268" s="82" t="str">
        <f t="shared" si="114"/>
        <v>-</v>
      </c>
      <c r="AL268" s="82" t="str">
        <f t="shared" si="115"/>
        <v>Identifica este registro como MUJER</v>
      </c>
      <c r="AM268" s="82" t="str">
        <f t="shared" si="116"/>
        <v>-</v>
      </c>
      <c r="AN268" s="82" t="str">
        <f t="shared" si="117"/>
        <v>-</v>
      </c>
      <c r="AO268" s="82" t="str">
        <f t="shared" si="118"/>
        <v>-</v>
      </c>
      <c r="AP268" s="57" t="str">
        <f t="shared" si="119"/>
        <v>-</v>
      </c>
      <c r="AQ268" s="86" t="str">
        <f t="shared" si="120"/>
        <v>-</v>
      </c>
      <c r="AR268" s="86" t="str">
        <f>IF(N268="","PRIMER_DIA en blanco",
IF(AND(M268="01",N268&gt;=L_Conversion!$C$118,N268&lt;=L_Conversion!$D$118),"-",
IF(AND(M268="02",N268&gt;=L_Conversion!$C$119,N268&lt;=L_Conversion!$D$119),"-",
IF(AND(M268="03",N268&gt;=L_Conversion!$C$120,N268&lt;=L_Conversion!$D$120),"-",
IF(AND(M268="04",N268&gt;=L_Conversion!$C$121,N268&lt;=L_Conversion!$D$121),"-",
IF(AND(M268="05",N268&gt;=L_Conversion!$C$122,N268&lt;=L_Conversion!$D$122),"-",
IF(AND(M268="06",N268&gt;=L_Conversion!$C$123,N268&lt;=L_Conversion!$D$123),"-",
IF(AND(M268="07",N268&gt;=L_Conversion!$C$124,N268&lt;=L_Conversion!$D$124),"-",
IF(AND(M268="08",N268&gt;=L_Conversion!$C$125,N268&lt;=L_Conversion!$D$125),"-",
IF(AND(M268="09",N268&gt;=L_Conversion!$C$126,N268&lt;=L_Conversion!$D$126),"-",
IF(AND(M268="10",N268&gt;=L_Conversion!$C$127,N268&lt;=L_Conversion!$D$127),"-",
IF(AND(M268="11",N268&gt;=L_Conversion!$C$128,N268&lt;=L_Conversion!$D$128),"-",
IF(AND(M268="12",N268&gt;=L_Conversion!$C$129,N268&lt;=L_Conversion!$D$129),"-",
IF(AND(M268="13",N268&gt;=L_Conversion!$C$116,N268&lt;=L_Conversion!$D$116),"-",
IF(AND(M268="14",N268&gt;=L_Conversion!$C$117,N268&lt;=L_Conversion!$D$117),"-",
"PRIMER_DIA fuera de rango")))))))))))))))</f>
        <v>-</v>
      </c>
      <c r="AS268" s="86" t="str">
        <f t="shared" si="121"/>
        <v>-</v>
      </c>
      <c r="AT268" s="86" t="str">
        <f t="shared" si="122"/>
        <v>-</v>
      </c>
      <c r="AU268" s="86" t="str">
        <f t="shared" si="123"/>
        <v>-</v>
      </c>
      <c r="AV268" s="86" t="str">
        <f t="shared" si="124"/>
        <v>-</v>
      </c>
      <c r="AW268" s="86" t="str">
        <f t="shared" si="125"/>
        <v>-</v>
      </c>
      <c r="AX268" s="86" t="str">
        <f t="shared" si="126"/>
        <v>-</v>
      </c>
      <c r="AY268" s="86" t="str">
        <f t="shared" si="127"/>
        <v>-</v>
      </c>
      <c r="AZ268" s="86" t="str">
        <f t="shared" si="128"/>
        <v>-</v>
      </c>
      <c r="BA268" s="86" t="str">
        <f t="shared" si="129"/>
        <v>-</v>
      </c>
      <c r="BB268" s="86" t="str">
        <f t="shared" si="130"/>
        <v>-</v>
      </c>
      <c r="BC268" s="86" t="str">
        <f t="shared" si="131"/>
        <v>-</v>
      </c>
      <c r="BD268" s="86" t="str">
        <f t="shared" si="132"/>
        <v>-</v>
      </c>
      <c r="BE268" s="86" t="str">
        <f t="shared" si="133"/>
        <v>-</v>
      </c>
      <c r="BF268" s="86" t="str">
        <f t="shared" si="134"/>
        <v>-</v>
      </c>
    </row>
    <row r="269" spans="1:58" x14ac:dyDescent="0.2">
      <c r="A269" s="19" t="s">
        <v>1144</v>
      </c>
      <c r="B269" s="19" t="s">
        <v>76</v>
      </c>
      <c r="C269" s="19">
        <v>10721671</v>
      </c>
      <c r="D269" s="81">
        <v>5</v>
      </c>
      <c r="E269" s="19" t="s">
        <v>1580</v>
      </c>
      <c r="F269" s="19" t="s">
        <v>1207</v>
      </c>
      <c r="G269" s="19" t="s">
        <v>1581</v>
      </c>
      <c r="H269" s="19" t="s">
        <v>1033</v>
      </c>
      <c r="I269" s="19" t="s">
        <v>662</v>
      </c>
      <c r="J269" s="19">
        <v>80</v>
      </c>
      <c r="K269" s="19" t="s">
        <v>563</v>
      </c>
      <c r="L269" s="19" t="s">
        <v>502</v>
      </c>
      <c r="M269" s="19" t="s">
        <v>16</v>
      </c>
      <c r="N269" s="19">
        <v>45726</v>
      </c>
      <c r="O269" s="19">
        <v>19</v>
      </c>
      <c r="P269" s="81">
        <v>1</v>
      </c>
      <c r="Q269" s="19" t="s">
        <v>23</v>
      </c>
      <c r="R269" s="19" t="s">
        <v>11</v>
      </c>
      <c r="S269" s="19" t="s">
        <v>23</v>
      </c>
      <c r="T269" s="19">
        <v>19</v>
      </c>
      <c r="U269" s="19" t="s">
        <v>11</v>
      </c>
      <c r="V269" s="19" t="s">
        <v>11</v>
      </c>
      <c r="W269" s="19" t="s">
        <v>19</v>
      </c>
      <c r="X269" s="19">
        <v>1625080</v>
      </c>
      <c r="Y269" s="19" t="s">
        <v>735</v>
      </c>
      <c r="Z269" s="19">
        <v>19</v>
      </c>
      <c r="AA269" s="19">
        <v>1625080</v>
      </c>
      <c r="AB269" s="19">
        <v>1625080</v>
      </c>
      <c r="AC269" s="178" t="str">
        <f>IF(OR(M269="13",M269="14",P269=8),"",IF(AND(OR(S269="AUTORIZADO", S269="PENDIENTE", S269="REDUCIDO", S269="AMPLIADO"),L269&lt;&gt;"HONORARIO" ), CONCATENATE(IF(H269="X","H",H269),"_",IF(OR(P269=5,P269=6),_xlfn.CONCAT(P269,"A"),P269),"_",VLOOKUP(T269,Datos!$B$2:$C$5,2,TRUE)),""))</f>
        <v>M_1_[11 +]</v>
      </c>
      <c r="AD269" s="178">
        <f t="shared" si="108"/>
        <v>3250160</v>
      </c>
      <c r="AE269" s="82" t="str">
        <f t="shared" si="109"/>
        <v>-</v>
      </c>
      <c r="AF269" s="83" t="str">
        <f t="shared" si="110"/>
        <v>070601</v>
      </c>
      <c r="AG269" s="84"/>
      <c r="AH269" s="85" t="str">
        <f t="shared" si="111"/>
        <v>Corporación de Fomento de la Producción</v>
      </c>
      <c r="AI269" s="82" t="str">
        <f t="shared" si="112"/>
        <v>-</v>
      </c>
      <c r="AJ269" s="82">
        <f t="shared" si="113"/>
        <v>5</v>
      </c>
      <c r="AK269" s="82" t="str">
        <f t="shared" si="114"/>
        <v>-</v>
      </c>
      <c r="AL269" s="82" t="str">
        <f t="shared" si="115"/>
        <v>Identifica este registro como MUJER</v>
      </c>
      <c r="AM269" s="82" t="str">
        <f t="shared" si="116"/>
        <v>-</v>
      </c>
      <c r="AN269" s="82" t="str">
        <f t="shared" si="117"/>
        <v>-</v>
      </c>
      <c r="AO269" s="82" t="str">
        <f t="shared" si="118"/>
        <v>-</v>
      </c>
      <c r="AP269" s="57" t="str">
        <f t="shared" si="119"/>
        <v>-</v>
      </c>
      <c r="AQ269" s="86" t="str">
        <f t="shared" si="120"/>
        <v>-</v>
      </c>
      <c r="AR269" s="86" t="str">
        <f>IF(N269="","PRIMER_DIA en blanco",
IF(AND(M269="01",N269&gt;=L_Conversion!$C$118,N269&lt;=L_Conversion!$D$118),"-",
IF(AND(M269="02",N269&gt;=L_Conversion!$C$119,N269&lt;=L_Conversion!$D$119),"-",
IF(AND(M269="03",N269&gt;=L_Conversion!$C$120,N269&lt;=L_Conversion!$D$120),"-",
IF(AND(M269="04",N269&gt;=L_Conversion!$C$121,N269&lt;=L_Conversion!$D$121),"-",
IF(AND(M269="05",N269&gt;=L_Conversion!$C$122,N269&lt;=L_Conversion!$D$122),"-",
IF(AND(M269="06",N269&gt;=L_Conversion!$C$123,N269&lt;=L_Conversion!$D$123),"-",
IF(AND(M269="07",N269&gt;=L_Conversion!$C$124,N269&lt;=L_Conversion!$D$124),"-",
IF(AND(M269="08",N269&gt;=L_Conversion!$C$125,N269&lt;=L_Conversion!$D$125),"-",
IF(AND(M269="09",N269&gt;=L_Conversion!$C$126,N269&lt;=L_Conversion!$D$126),"-",
IF(AND(M269="10",N269&gt;=L_Conversion!$C$127,N269&lt;=L_Conversion!$D$127),"-",
IF(AND(M269="11",N269&gt;=L_Conversion!$C$128,N269&lt;=L_Conversion!$D$128),"-",
IF(AND(M269="12",N269&gt;=L_Conversion!$C$129,N269&lt;=L_Conversion!$D$129),"-",
IF(AND(M269="13",N269&gt;=L_Conversion!$C$116,N269&lt;=L_Conversion!$D$116),"-",
IF(AND(M269="14",N269&gt;=L_Conversion!$C$117,N269&lt;=L_Conversion!$D$117),"-",
"PRIMER_DIA fuera de rango")))))))))))))))</f>
        <v>-</v>
      </c>
      <c r="AS269" s="86" t="str">
        <f t="shared" si="121"/>
        <v>-</v>
      </c>
      <c r="AT269" s="86" t="str">
        <f t="shared" si="122"/>
        <v>-</v>
      </c>
      <c r="AU269" s="86" t="str">
        <f t="shared" si="123"/>
        <v>-</v>
      </c>
      <c r="AV269" s="86" t="str">
        <f t="shared" si="124"/>
        <v>-</v>
      </c>
      <c r="AW269" s="86" t="str">
        <f t="shared" si="125"/>
        <v>-</v>
      </c>
      <c r="AX269" s="86" t="str">
        <f t="shared" si="126"/>
        <v>-</v>
      </c>
      <c r="AY269" s="86" t="str">
        <f t="shared" si="127"/>
        <v>-</v>
      </c>
      <c r="AZ269" s="86" t="str">
        <f t="shared" si="128"/>
        <v>-</v>
      </c>
      <c r="BA269" s="86" t="str">
        <f t="shared" si="129"/>
        <v>-</v>
      </c>
      <c r="BB269" s="86" t="str">
        <f t="shared" si="130"/>
        <v>-</v>
      </c>
      <c r="BC269" s="86" t="str">
        <f t="shared" si="131"/>
        <v>-</v>
      </c>
      <c r="BD269" s="86" t="str">
        <f t="shared" si="132"/>
        <v>-</v>
      </c>
      <c r="BE269" s="86" t="str">
        <f t="shared" si="133"/>
        <v>-</v>
      </c>
      <c r="BF269" s="86" t="str">
        <f t="shared" si="134"/>
        <v>-</v>
      </c>
    </row>
    <row r="270" spans="1:58" x14ac:dyDescent="0.2">
      <c r="A270" s="19" t="s">
        <v>1144</v>
      </c>
      <c r="B270" s="19" t="s">
        <v>886</v>
      </c>
      <c r="C270" s="19">
        <v>18502227</v>
      </c>
      <c r="D270" s="81">
        <v>7</v>
      </c>
      <c r="E270" s="19" t="s">
        <v>1565</v>
      </c>
      <c r="F270" s="19" t="s">
        <v>1566</v>
      </c>
      <c r="G270" s="19" t="s">
        <v>1567</v>
      </c>
      <c r="H270" s="19" t="s">
        <v>1033</v>
      </c>
      <c r="I270" s="19" t="s">
        <v>662</v>
      </c>
      <c r="J270" s="19">
        <v>80</v>
      </c>
      <c r="K270" s="19" t="s">
        <v>563</v>
      </c>
      <c r="L270" s="19" t="s">
        <v>502</v>
      </c>
      <c r="M270" s="19" t="s">
        <v>16</v>
      </c>
      <c r="N270" s="19">
        <v>45726</v>
      </c>
      <c r="O270" s="19">
        <v>3</v>
      </c>
      <c r="P270" s="81">
        <v>1</v>
      </c>
      <c r="Q270" s="19" t="s">
        <v>23</v>
      </c>
      <c r="R270" s="19" t="s">
        <v>11</v>
      </c>
      <c r="S270" s="19" t="s">
        <v>23</v>
      </c>
      <c r="T270" s="19">
        <v>3</v>
      </c>
      <c r="U270" s="19" t="s">
        <v>11</v>
      </c>
      <c r="V270" s="19" t="s">
        <v>19</v>
      </c>
      <c r="W270" s="19" t="s">
        <v>19</v>
      </c>
      <c r="X270" s="19">
        <v>40955</v>
      </c>
      <c r="Y270" s="19" t="s">
        <v>735</v>
      </c>
      <c r="Z270" s="19">
        <v>3</v>
      </c>
      <c r="AA270" s="19">
        <v>40955</v>
      </c>
      <c r="AB270" s="19">
        <v>40955</v>
      </c>
      <c r="AC270" s="178" t="str">
        <f>IF(OR(M270="13",M270="14",P270=8),"",IF(AND(OR(S270="AUTORIZADO", S270="PENDIENTE", S270="REDUCIDO", S270="AMPLIADO"),L270&lt;&gt;"HONORARIO" ), CONCATENATE(IF(H270="X","H",H270),"_",IF(OR(P270=5,P270=6),_xlfn.CONCAT(P270,"A"),P270),"_",VLOOKUP(T270,Datos!$B$2:$C$5,2,TRUE)),""))</f>
        <v>M_1_[hasta 3]</v>
      </c>
      <c r="AD270" s="178">
        <f t="shared" si="108"/>
        <v>81910</v>
      </c>
      <c r="AE270" s="82" t="str">
        <f t="shared" si="109"/>
        <v>-</v>
      </c>
      <c r="AF270" s="83" t="str">
        <f t="shared" si="110"/>
        <v>070606</v>
      </c>
      <c r="AG270" s="84"/>
      <c r="AH270" s="85" t="str">
        <f t="shared" si="111"/>
        <v>Corporación de Fomento de la Producción</v>
      </c>
      <c r="AI270" s="82" t="str">
        <f t="shared" si="112"/>
        <v>-</v>
      </c>
      <c r="AJ270" s="82">
        <f t="shared" si="113"/>
        <v>7</v>
      </c>
      <c r="AK270" s="82" t="str">
        <f t="shared" si="114"/>
        <v>-</v>
      </c>
      <c r="AL270" s="82" t="str">
        <f t="shared" si="115"/>
        <v>Identifica este registro como MUJER</v>
      </c>
      <c r="AM270" s="82" t="str">
        <f t="shared" si="116"/>
        <v>-</v>
      </c>
      <c r="AN270" s="82" t="str">
        <f t="shared" si="117"/>
        <v>-</v>
      </c>
      <c r="AO270" s="82" t="str">
        <f t="shared" si="118"/>
        <v>-</v>
      </c>
      <c r="AP270" s="57" t="str">
        <f t="shared" si="119"/>
        <v>-</v>
      </c>
      <c r="AQ270" s="86" t="str">
        <f t="shared" si="120"/>
        <v>-</v>
      </c>
      <c r="AR270" s="86" t="str">
        <f>IF(N270="","PRIMER_DIA en blanco",
IF(AND(M270="01",N270&gt;=L_Conversion!$C$118,N270&lt;=L_Conversion!$D$118),"-",
IF(AND(M270="02",N270&gt;=L_Conversion!$C$119,N270&lt;=L_Conversion!$D$119),"-",
IF(AND(M270="03",N270&gt;=L_Conversion!$C$120,N270&lt;=L_Conversion!$D$120),"-",
IF(AND(M270="04",N270&gt;=L_Conversion!$C$121,N270&lt;=L_Conversion!$D$121),"-",
IF(AND(M270="05",N270&gt;=L_Conversion!$C$122,N270&lt;=L_Conversion!$D$122),"-",
IF(AND(M270="06",N270&gt;=L_Conversion!$C$123,N270&lt;=L_Conversion!$D$123),"-",
IF(AND(M270="07",N270&gt;=L_Conversion!$C$124,N270&lt;=L_Conversion!$D$124),"-",
IF(AND(M270="08",N270&gt;=L_Conversion!$C$125,N270&lt;=L_Conversion!$D$125),"-",
IF(AND(M270="09",N270&gt;=L_Conversion!$C$126,N270&lt;=L_Conversion!$D$126),"-",
IF(AND(M270="10",N270&gt;=L_Conversion!$C$127,N270&lt;=L_Conversion!$D$127),"-",
IF(AND(M270="11",N270&gt;=L_Conversion!$C$128,N270&lt;=L_Conversion!$D$128),"-",
IF(AND(M270="12",N270&gt;=L_Conversion!$C$129,N270&lt;=L_Conversion!$D$129),"-",
IF(AND(M270="13",N270&gt;=L_Conversion!$C$116,N270&lt;=L_Conversion!$D$116),"-",
IF(AND(M270="14",N270&gt;=L_Conversion!$C$117,N270&lt;=L_Conversion!$D$117),"-",
"PRIMER_DIA fuera de rango")))))))))))))))</f>
        <v>-</v>
      </c>
      <c r="AS270" s="86" t="str">
        <f t="shared" si="121"/>
        <v>-</v>
      </c>
      <c r="AT270" s="86" t="str">
        <f t="shared" si="122"/>
        <v>-</v>
      </c>
      <c r="AU270" s="86" t="str">
        <f t="shared" si="123"/>
        <v>-</v>
      </c>
      <c r="AV270" s="86" t="str">
        <f t="shared" si="124"/>
        <v>-</v>
      </c>
      <c r="AW270" s="86" t="str">
        <f t="shared" si="125"/>
        <v>-</v>
      </c>
      <c r="AX270" s="86" t="str">
        <f t="shared" si="126"/>
        <v>-</v>
      </c>
      <c r="AY270" s="86" t="str">
        <f t="shared" si="127"/>
        <v>-</v>
      </c>
      <c r="AZ270" s="86" t="str">
        <f t="shared" si="128"/>
        <v>-</v>
      </c>
      <c r="BA270" s="86" t="str">
        <f t="shared" si="129"/>
        <v>-</v>
      </c>
      <c r="BB270" s="86" t="str">
        <f t="shared" si="130"/>
        <v>-</v>
      </c>
      <c r="BC270" s="86" t="str">
        <f t="shared" si="131"/>
        <v>-</v>
      </c>
      <c r="BD270" s="86" t="str">
        <f t="shared" si="132"/>
        <v>-</v>
      </c>
      <c r="BE270" s="86" t="str">
        <f t="shared" si="133"/>
        <v>-</v>
      </c>
      <c r="BF270" s="86" t="str">
        <f t="shared" si="134"/>
        <v>-</v>
      </c>
    </row>
    <row r="271" spans="1:58" x14ac:dyDescent="0.2">
      <c r="A271" s="19" t="s">
        <v>1144</v>
      </c>
      <c r="B271" s="19" t="s">
        <v>76</v>
      </c>
      <c r="C271" s="19">
        <v>14491929</v>
      </c>
      <c r="D271" s="81">
        <v>7</v>
      </c>
      <c r="E271" s="19" t="s">
        <v>1582</v>
      </c>
      <c r="F271" s="19" t="s">
        <v>1189</v>
      </c>
      <c r="G271" s="19" t="s">
        <v>1482</v>
      </c>
      <c r="H271" s="19" t="s">
        <v>1033</v>
      </c>
      <c r="I271" s="19" t="s">
        <v>662</v>
      </c>
      <c r="J271" s="19">
        <v>80</v>
      </c>
      <c r="K271" s="19" t="s">
        <v>563</v>
      </c>
      <c r="L271" s="19" t="s">
        <v>502</v>
      </c>
      <c r="M271" s="19" t="s">
        <v>16</v>
      </c>
      <c r="N271" s="19">
        <v>45727</v>
      </c>
      <c r="O271" s="19">
        <v>1</v>
      </c>
      <c r="P271" s="81">
        <v>1</v>
      </c>
      <c r="Q271" s="19" t="s">
        <v>23</v>
      </c>
      <c r="R271" s="19" t="s">
        <v>11</v>
      </c>
      <c r="S271" s="19" t="s">
        <v>23</v>
      </c>
      <c r="T271" s="19">
        <v>1</v>
      </c>
      <c r="U271" s="19" t="s">
        <v>11</v>
      </c>
      <c r="V271" s="19" t="s">
        <v>19</v>
      </c>
      <c r="W271" s="19" t="s">
        <v>19</v>
      </c>
      <c r="X271" s="19">
        <v>20992</v>
      </c>
      <c r="Y271" s="19" t="s">
        <v>735</v>
      </c>
      <c r="Z271" s="19">
        <v>1</v>
      </c>
      <c r="AA271" s="19">
        <v>20992</v>
      </c>
      <c r="AB271" s="19">
        <v>20992</v>
      </c>
      <c r="AC271" s="178" t="str">
        <f>IF(OR(M271="13",M271="14",P271=8),"",IF(AND(OR(S271="AUTORIZADO", S271="PENDIENTE", S271="REDUCIDO", S271="AMPLIADO"),L271&lt;&gt;"HONORARIO" ), CONCATENATE(IF(H271="X","H",H271),"_",IF(OR(P271=5,P271=6),_xlfn.CONCAT(P271,"A"),P271),"_",VLOOKUP(T271,Datos!$B$2:$C$5,2,TRUE)),""))</f>
        <v>M_1_[hasta 3]</v>
      </c>
      <c r="AD271" s="178">
        <f t="shared" si="108"/>
        <v>41984</v>
      </c>
      <c r="AE271" s="82" t="str">
        <f t="shared" si="109"/>
        <v>-</v>
      </c>
      <c r="AF271" s="83" t="str">
        <f t="shared" si="110"/>
        <v>070601</v>
      </c>
      <c r="AG271" s="84"/>
      <c r="AH271" s="85" t="str">
        <f t="shared" si="111"/>
        <v>Corporación de Fomento de la Producción</v>
      </c>
      <c r="AI271" s="82" t="str">
        <f t="shared" si="112"/>
        <v>-</v>
      </c>
      <c r="AJ271" s="82">
        <f t="shared" si="113"/>
        <v>7</v>
      </c>
      <c r="AK271" s="82" t="str">
        <f t="shared" si="114"/>
        <v>-</v>
      </c>
      <c r="AL271" s="82" t="str">
        <f t="shared" si="115"/>
        <v>Identifica este registro como MUJER</v>
      </c>
      <c r="AM271" s="82" t="str">
        <f t="shared" si="116"/>
        <v>-</v>
      </c>
      <c r="AN271" s="82" t="str">
        <f t="shared" si="117"/>
        <v>-</v>
      </c>
      <c r="AO271" s="82" t="str">
        <f t="shared" si="118"/>
        <v>-</v>
      </c>
      <c r="AP271" s="57" t="str">
        <f t="shared" si="119"/>
        <v>-</v>
      </c>
      <c r="AQ271" s="86" t="str">
        <f t="shared" si="120"/>
        <v>-</v>
      </c>
      <c r="AR271" s="86" t="str">
        <f>IF(N271="","PRIMER_DIA en blanco",
IF(AND(M271="01",N271&gt;=L_Conversion!$C$118,N271&lt;=L_Conversion!$D$118),"-",
IF(AND(M271="02",N271&gt;=L_Conversion!$C$119,N271&lt;=L_Conversion!$D$119),"-",
IF(AND(M271="03",N271&gt;=L_Conversion!$C$120,N271&lt;=L_Conversion!$D$120),"-",
IF(AND(M271="04",N271&gt;=L_Conversion!$C$121,N271&lt;=L_Conversion!$D$121),"-",
IF(AND(M271="05",N271&gt;=L_Conversion!$C$122,N271&lt;=L_Conversion!$D$122),"-",
IF(AND(M271="06",N271&gt;=L_Conversion!$C$123,N271&lt;=L_Conversion!$D$123),"-",
IF(AND(M271="07",N271&gt;=L_Conversion!$C$124,N271&lt;=L_Conversion!$D$124),"-",
IF(AND(M271="08",N271&gt;=L_Conversion!$C$125,N271&lt;=L_Conversion!$D$125),"-",
IF(AND(M271="09",N271&gt;=L_Conversion!$C$126,N271&lt;=L_Conversion!$D$126),"-",
IF(AND(M271="10",N271&gt;=L_Conversion!$C$127,N271&lt;=L_Conversion!$D$127),"-",
IF(AND(M271="11",N271&gt;=L_Conversion!$C$128,N271&lt;=L_Conversion!$D$128),"-",
IF(AND(M271="12",N271&gt;=L_Conversion!$C$129,N271&lt;=L_Conversion!$D$129),"-",
IF(AND(M271="13",N271&gt;=L_Conversion!$C$116,N271&lt;=L_Conversion!$D$116),"-",
IF(AND(M271="14",N271&gt;=L_Conversion!$C$117,N271&lt;=L_Conversion!$D$117),"-",
"PRIMER_DIA fuera de rango")))))))))))))))</f>
        <v>-</v>
      </c>
      <c r="AS271" s="86" t="str">
        <f t="shared" si="121"/>
        <v>-</v>
      </c>
      <c r="AT271" s="86" t="str">
        <f t="shared" si="122"/>
        <v>-</v>
      </c>
      <c r="AU271" s="86" t="str">
        <f t="shared" si="123"/>
        <v>-</v>
      </c>
      <c r="AV271" s="86" t="str">
        <f t="shared" si="124"/>
        <v>-</v>
      </c>
      <c r="AW271" s="86" t="str">
        <f t="shared" si="125"/>
        <v>-</v>
      </c>
      <c r="AX271" s="86" t="str">
        <f t="shared" si="126"/>
        <v>-</v>
      </c>
      <c r="AY271" s="86" t="str">
        <f t="shared" si="127"/>
        <v>-</v>
      </c>
      <c r="AZ271" s="86" t="str">
        <f t="shared" si="128"/>
        <v>-</v>
      </c>
      <c r="BA271" s="86" t="str">
        <f t="shared" si="129"/>
        <v>-</v>
      </c>
      <c r="BB271" s="86" t="str">
        <f t="shared" si="130"/>
        <v>-</v>
      </c>
      <c r="BC271" s="86" t="str">
        <f t="shared" si="131"/>
        <v>-</v>
      </c>
      <c r="BD271" s="86" t="str">
        <f t="shared" si="132"/>
        <v>-</v>
      </c>
      <c r="BE271" s="86" t="str">
        <f t="shared" si="133"/>
        <v>-</v>
      </c>
      <c r="BF271" s="86" t="str">
        <f t="shared" si="134"/>
        <v>-</v>
      </c>
    </row>
    <row r="272" spans="1:58" x14ac:dyDescent="0.2">
      <c r="A272" s="19" t="s">
        <v>1144</v>
      </c>
      <c r="B272" s="19" t="s">
        <v>76</v>
      </c>
      <c r="C272" s="19">
        <v>8396904</v>
      </c>
      <c r="D272" s="81">
        <v>0</v>
      </c>
      <c r="E272" s="19" t="s">
        <v>1583</v>
      </c>
      <c r="F272" s="19" t="s">
        <v>1584</v>
      </c>
      <c r="G272" s="19" t="s">
        <v>1585</v>
      </c>
      <c r="H272" s="19" t="s">
        <v>1033</v>
      </c>
      <c r="I272" s="19" t="s">
        <v>662</v>
      </c>
      <c r="J272" s="19">
        <v>80</v>
      </c>
      <c r="K272" s="19" t="s">
        <v>563</v>
      </c>
      <c r="L272" s="19" t="s">
        <v>502</v>
      </c>
      <c r="M272" s="19" t="s">
        <v>16</v>
      </c>
      <c r="N272" s="19">
        <v>45727</v>
      </c>
      <c r="O272" s="19">
        <v>7</v>
      </c>
      <c r="P272" s="81">
        <v>1</v>
      </c>
      <c r="Q272" s="19" t="s">
        <v>23</v>
      </c>
      <c r="R272" s="19" t="s">
        <v>11</v>
      </c>
      <c r="S272" s="19" t="s">
        <v>23</v>
      </c>
      <c r="T272" s="19">
        <v>7</v>
      </c>
      <c r="U272" s="19" t="s">
        <v>11</v>
      </c>
      <c r="V272" s="19" t="s">
        <v>11</v>
      </c>
      <c r="W272" s="19" t="s">
        <v>19</v>
      </c>
      <c r="X272" s="19">
        <v>524570</v>
      </c>
      <c r="Y272" s="19" t="s">
        <v>735</v>
      </c>
      <c r="Z272" s="19">
        <v>7</v>
      </c>
      <c r="AA272" s="19">
        <v>524570</v>
      </c>
      <c r="AB272" s="19">
        <v>524570</v>
      </c>
      <c r="AC272" s="178" t="str">
        <f>IF(OR(M272="13",M272="14",P272=8),"",IF(AND(OR(S272="AUTORIZADO", S272="PENDIENTE", S272="REDUCIDO", S272="AMPLIADO"),L272&lt;&gt;"HONORARIO" ), CONCATENATE(IF(H272="X","H",H272),"_",IF(OR(P272=5,P272=6),_xlfn.CONCAT(P272,"A"),P272),"_",VLOOKUP(T272,Datos!$B$2:$C$5,2,TRUE)),""))</f>
        <v>M_1_[4 a 10]</v>
      </c>
      <c r="AD272" s="178">
        <f t="shared" si="108"/>
        <v>1049140</v>
      </c>
      <c r="AE272" s="82" t="str">
        <f t="shared" si="109"/>
        <v>-</v>
      </c>
      <c r="AF272" s="83" t="str">
        <f t="shared" si="110"/>
        <v>070601</v>
      </c>
      <c r="AG272" s="84"/>
      <c r="AH272" s="85" t="str">
        <f t="shared" si="111"/>
        <v>Corporación de Fomento de la Producción</v>
      </c>
      <c r="AI272" s="82" t="str">
        <f t="shared" si="112"/>
        <v>-</v>
      </c>
      <c r="AJ272" s="82">
        <f t="shared" si="113"/>
        <v>0</v>
      </c>
      <c r="AK272" s="82" t="str">
        <f t="shared" si="114"/>
        <v>-</v>
      </c>
      <c r="AL272" s="82" t="str">
        <f t="shared" si="115"/>
        <v>Identifica este registro como MUJER</v>
      </c>
      <c r="AM272" s="82" t="str">
        <f t="shared" si="116"/>
        <v>-</v>
      </c>
      <c r="AN272" s="82" t="str">
        <f t="shared" si="117"/>
        <v>-</v>
      </c>
      <c r="AO272" s="82" t="str">
        <f t="shared" si="118"/>
        <v>-</v>
      </c>
      <c r="AP272" s="57" t="str">
        <f t="shared" si="119"/>
        <v>-</v>
      </c>
      <c r="AQ272" s="86" t="str">
        <f t="shared" si="120"/>
        <v>-</v>
      </c>
      <c r="AR272" s="86" t="str">
        <f>IF(N272="","PRIMER_DIA en blanco",
IF(AND(M272="01",N272&gt;=L_Conversion!$C$118,N272&lt;=L_Conversion!$D$118),"-",
IF(AND(M272="02",N272&gt;=L_Conversion!$C$119,N272&lt;=L_Conversion!$D$119),"-",
IF(AND(M272="03",N272&gt;=L_Conversion!$C$120,N272&lt;=L_Conversion!$D$120),"-",
IF(AND(M272="04",N272&gt;=L_Conversion!$C$121,N272&lt;=L_Conversion!$D$121),"-",
IF(AND(M272="05",N272&gt;=L_Conversion!$C$122,N272&lt;=L_Conversion!$D$122),"-",
IF(AND(M272="06",N272&gt;=L_Conversion!$C$123,N272&lt;=L_Conversion!$D$123),"-",
IF(AND(M272="07",N272&gt;=L_Conversion!$C$124,N272&lt;=L_Conversion!$D$124),"-",
IF(AND(M272="08",N272&gt;=L_Conversion!$C$125,N272&lt;=L_Conversion!$D$125),"-",
IF(AND(M272="09",N272&gt;=L_Conversion!$C$126,N272&lt;=L_Conversion!$D$126),"-",
IF(AND(M272="10",N272&gt;=L_Conversion!$C$127,N272&lt;=L_Conversion!$D$127),"-",
IF(AND(M272="11",N272&gt;=L_Conversion!$C$128,N272&lt;=L_Conversion!$D$128),"-",
IF(AND(M272="12",N272&gt;=L_Conversion!$C$129,N272&lt;=L_Conversion!$D$129),"-",
IF(AND(M272="13",N272&gt;=L_Conversion!$C$116,N272&lt;=L_Conversion!$D$116),"-",
IF(AND(M272="14",N272&gt;=L_Conversion!$C$117,N272&lt;=L_Conversion!$D$117),"-",
"PRIMER_DIA fuera de rango")))))))))))))))</f>
        <v>-</v>
      </c>
      <c r="AS272" s="86" t="str">
        <f t="shared" si="121"/>
        <v>-</v>
      </c>
      <c r="AT272" s="86" t="str">
        <f t="shared" si="122"/>
        <v>-</v>
      </c>
      <c r="AU272" s="86" t="str">
        <f t="shared" si="123"/>
        <v>-</v>
      </c>
      <c r="AV272" s="86" t="str">
        <f t="shared" si="124"/>
        <v>-</v>
      </c>
      <c r="AW272" s="86" t="str">
        <f t="shared" si="125"/>
        <v>-</v>
      </c>
      <c r="AX272" s="86" t="str">
        <f t="shared" si="126"/>
        <v>-</v>
      </c>
      <c r="AY272" s="86" t="str">
        <f t="shared" si="127"/>
        <v>-</v>
      </c>
      <c r="AZ272" s="86" t="str">
        <f t="shared" si="128"/>
        <v>-</v>
      </c>
      <c r="BA272" s="86" t="str">
        <f t="shared" si="129"/>
        <v>-</v>
      </c>
      <c r="BB272" s="86" t="str">
        <f t="shared" si="130"/>
        <v>-</v>
      </c>
      <c r="BC272" s="86" t="str">
        <f t="shared" si="131"/>
        <v>-</v>
      </c>
      <c r="BD272" s="86" t="str">
        <f t="shared" si="132"/>
        <v>-</v>
      </c>
      <c r="BE272" s="86" t="str">
        <f t="shared" si="133"/>
        <v>-</v>
      </c>
      <c r="BF272" s="86" t="str">
        <f t="shared" si="134"/>
        <v>-</v>
      </c>
    </row>
    <row r="273" spans="1:58" x14ac:dyDescent="0.2">
      <c r="A273" s="19" t="s">
        <v>1144</v>
      </c>
      <c r="B273" s="19" t="s">
        <v>76</v>
      </c>
      <c r="C273" s="19">
        <v>15929926</v>
      </c>
      <c r="D273" s="81">
        <v>0</v>
      </c>
      <c r="E273" s="19" t="s">
        <v>1586</v>
      </c>
      <c r="F273" s="19" t="s">
        <v>1357</v>
      </c>
      <c r="G273" s="19" t="s">
        <v>1587</v>
      </c>
      <c r="H273" s="19" t="s">
        <v>1033</v>
      </c>
      <c r="I273" s="19" t="s">
        <v>662</v>
      </c>
      <c r="J273" s="19">
        <v>80</v>
      </c>
      <c r="K273" s="19" t="s">
        <v>563</v>
      </c>
      <c r="L273" s="19" t="s">
        <v>502</v>
      </c>
      <c r="M273" s="19" t="s">
        <v>16</v>
      </c>
      <c r="N273" s="19">
        <v>45727</v>
      </c>
      <c r="O273" s="19">
        <v>3</v>
      </c>
      <c r="P273" s="81">
        <v>1</v>
      </c>
      <c r="Q273" s="19" t="s">
        <v>23</v>
      </c>
      <c r="R273" s="19" t="s">
        <v>11</v>
      </c>
      <c r="S273" s="19" t="s">
        <v>23</v>
      </c>
      <c r="T273" s="19">
        <v>3</v>
      </c>
      <c r="U273" s="19" t="s">
        <v>11</v>
      </c>
      <c r="V273" s="19" t="s">
        <v>19</v>
      </c>
      <c r="W273" s="19" t="s">
        <v>19</v>
      </c>
      <c r="X273" s="19">
        <v>57787</v>
      </c>
      <c r="Y273" s="19" t="s">
        <v>735</v>
      </c>
      <c r="Z273" s="19">
        <v>3</v>
      </c>
      <c r="AA273" s="19">
        <v>57787</v>
      </c>
      <c r="AB273" s="19">
        <v>57787</v>
      </c>
      <c r="AC273" s="178" t="str">
        <f>IF(OR(M273="13",M273="14",P273=8),"",IF(AND(OR(S273="AUTORIZADO", S273="PENDIENTE", S273="REDUCIDO", S273="AMPLIADO"),L273&lt;&gt;"HONORARIO" ), CONCATENATE(IF(H273="X","H",H273),"_",IF(OR(P273=5,P273=6),_xlfn.CONCAT(P273,"A"),P273),"_",VLOOKUP(T273,Datos!$B$2:$C$5,2,TRUE)),""))</f>
        <v>M_1_[hasta 3]</v>
      </c>
      <c r="AD273" s="178">
        <f t="shared" si="108"/>
        <v>115574</v>
      </c>
      <c r="AE273" s="82" t="str">
        <f t="shared" si="109"/>
        <v>-</v>
      </c>
      <c r="AF273" s="83" t="str">
        <f t="shared" si="110"/>
        <v>070601</v>
      </c>
      <c r="AG273" s="84"/>
      <c r="AH273" s="85" t="str">
        <f t="shared" si="111"/>
        <v>Corporación de Fomento de la Producción</v>
      </c>
      <c r="AI273" s="82" t="str">
        <f t="shared" si="112"/>
        <v>-</v>
      </c>
      <c r="AJ273" s="82">
        <f t="shared" si="113"/>
        <v>0</v>
      </c>
      <c r="AK273" s="82" t="str">
        <f t="shared" si="114"/>
        <v>-</v>
      </c>
      <c r="AL273" s="82" t="str">
        <f t="shared" si="115"/>
        <v>Identifica este registro como MUJER</v>
      </c>
      <c r="AM273" s="82" t="str">
        <f t="shared" si="116"/>
        <v>-</v>
      </c>
      <c r="AN273" s="82" t="str">
        <f t="shared" si="117"/>
        <v>-</v>
      </c>
      <c r="AO273" s="82" t="str">
        <f t="shared" si="118"/>
        <v>-</v>
      </c>
      <c r="AP273" s="57" t="str">
        <f t="shared" si="119"/>
        <v>-</v>
      </c>
      <c r="AQ273" s="86" t="str">
        <f t="shared" si="120"/>
        <v>-</v>
      </c>
      <c r="AR273" s="86" t="str">
        <f>IF(N273="","PRIMER_DIA en blanco",
IF(AND(M273="01",N273&gt;=L_Conversion!$C$118,N273&lt;=L_Conversion!$D$118),"-",
IF(AND(M273="02",N273&gt;=L_Conversion!$C$119,N273&lt;=L_Conversion!$D$119),"-",
IF(AND(M273="03",N273&gt;=L_Conversion!$C$120,N273&lt;=L_Conversion!$D$120),"-",
IF(AND(M273="04",N273&gt;=L_Conversion!$C$121,N273&lt;=L_Conversion!$D$121),"-",
IF(AND(M273="05",N273&gt;=L_Conversion!$C$122,N273&lt;=L_Conversion!$D$122),"-",
IF(AND(M273="06",N273&gt;=L_Conversion!$C$123,N273&lt;=L_Conversion!$D$123),"-",
IF(AND(M273="07",N273&gt;=L_Conversion!$C$124,N273&lt;=L_Conversion!$D$124),"-",
IF(AND(M273="08",N273&gt;=L_Conversion!$C$125,N273&lt;=L_Conversion!$D$125),"-",
IF(AND(M273="09",N273&gt;=L_Conversion!$C$126,N273&lt;=L_Conversion!$D$126),"-",
IF(AND(M273="10",N273&gt;=L_Conversion!$C$127,N273&lt;=L_Conversion!$D$127),"-",
IF(AND(M273="11",N273&gt;=L_Conversion!$C$128,N273&lt;=L_Conversion!$D$128),"-",
IF(AND(M273="12",N273&gt;=L_Conversion!$C$129,N273&lt;=L_Conversion!$D$129),"-",
IF(AND(M273="13",N273&gt;=L_Conversion!$C$116,N273&lt;=L_Conversion!$D$116),"-",
IF(AND(M273="14",N273&gt;=L_Conversion!$C$117,N273&lt;=L_Conversion!$D$117),"-",
"PRIMER_DIA fuera de rango")))))))))))))))</f>
        <v>-</v>
      </c>
      <c r="AS273" s="86" t="str">
        <f t="shared" si="121"/>
        <v>-</v>
      </c>
      <c r="AT273" s="86" t="str">
        <f t="shared" si="122"/>
        <v>-</v>
      </c>
      <c r="AU273" s="86" t="str">
        <f t="shared" si="123"/>
        <v>-</v>
      </c>
      <c r="AV273" s="86" t="str">
        <f t="shared" si="124"/>
        <v>-</v>
      </c>
      <c r="AW273" s="86" t="str">
        <f t="shared" si="125"/>
        <v>-</v>
      </c>
      <c r="AX273" s="86" t="str">
        <f t="shared" si="126"/>
        <v>-</v>
      </c>
      <c r="AY273" s="86" t="str">
        <f t="shared" si="127"/>
        <v>-</v>
      </c>
      <c r="AZ273" s="86" t="str">
        <f t="shared" si="128"/>
        <v>-</v>
      </c>
      <c r="BA273" s="86" t="str">
        <f t="shared" si="129"/>
        <v>-</v>
      </c>
      <c r="BB273" s="86" t="str">
        <f t="shared" si="130"/>
        <v>-</v>
      </c>
      <c r="BC273" s="86" t="str">
        <f t="shared" si="131"/>
        <v>-</v>
      </c>
      <c r="BD273" s="86" t="str">
        <f t="shared" si="132"/>
        <v>-</v>
      </c>
      <c r="BE273" s="86" t="str">
        <f t="shared" si="133"/>
        <v>-</v>
      </c>
      <c r="BF273" s="86" t="str">
        <f t="shared" si="134"/>
        <v>-</v>
      </c>
    </row>
    <row r="274" spans="1:58" x14ac:dyDescent="0.2">
      <c r="A274" s="19" t="s">
        <v>1144</v>
      </c>
      <c r="B274" s="19" t="s">
        <v>887</v>
      </c>
      <c r="C274" s="19">
        <v>17602203</v>
      </c>
      <c r="D274" s="81">
        <v>5</v>
      </c>
      <c r="E274" s="19" t="s">
        <v>1588</v>
      </c>
      <c r="F274" s="19" t="s">
        <v>1589</v>
      </c>
      <c r="G274" s="19" t="s">
        <v>1590</v>
      </c>
      <c r="H274" s="19" t="s">
        <v>1033</v>
      </c>
      <c r="I274" s="19" t="s">
        <v>662</v>
      </c>
      <c r="J274" s="19">
        <v>80</v>
      </c>
      <c r="K274" s="19" t="s">
        <v>563</v>
      </c>
      <c r="L274" s="19" t="s">
        <v>502</v>
      </c>
      <c r="M274" s="19" t="s">
        <v>16</v>
      </c>
      <c r="N274" s="19">
        <v>45727</v>
      </c>
      <c r="O274" s="19">
        <v>1</v>
      </c>
      <c r="P274" s="81">
        <v>1</v>
      </c>
      <c r="Q274" s="19" t="s">
        <v>23</v>
      </c>
      <c r="R274" s="19" t="s">
        <v>11</v>
      </c>
      <c r="S274" s="19" t="s">
        <v>23</v>
      </c>
      <c r="T274" s="19">
        <v>1</v>
      </c>
      <c r="U274" s="19" t="s">
        <v>11</v>
      </c>
      <c r="V274" s="19" t="s">
        <v>11</v>
      </c>
      <c r="W274" s="19" t="s">
        <v>11</v>
      </c>
      <c r="X274" s="19">
        <v>0</v>
      </c>
      <c r="Y274" s="19" t="s">
        <v>741</v>
      </c>
      <c r="Z274" s="19">
        <v>0</v>
      </c>
      <c r="AA274" s="19">
        <v>0</v>
      </c>
      <c r="AB274" s="19">
        <v>0</v>
      </c>
      <c r="AC274" s="178" t="str">
        <f>IF(OR(M274="13",M274="14",P274=8),"",IF(AND(OR(S274="AUTORIZADO", S274="PENDIENTE", S274="REDUCIDO", S274="AMPLIADO"),L274&lt;&gt;"HONORARIO" ), CONCATENATE(IF(H274="X","H",H274),"_",IF(OR(P274=5,P274=6),_xlfn.CONCAT(P274,"A"),P274),"_",VLOOKUP(T274,Datos!$B$2:$C$5,2,TRUE)),""))</f>
        <v>M_1_[hasta 3]</v>
      </c>
      <c r="AD274" s="178">
        <f t="shared" si="108"/>
        <v>0</v>
      </c>
      <c r="AE274" s="82" t="str">
        <f t="shared" si="109"/>
        <v>-</v>
      </c>
      <c r="AF274" s="83" t="str">
        <f t="shared" si="110"/>
        <v>070607</v>
      </c>
      <c r="AG274" s="84"/>
      <c r="AH274" s="85" t="str">
        <f t="shared" si="111"/>
        <v>Corporación de Fomento de la Producción</v>
      </c>
      <c r="AI274" s="82" t="str">
        <f t="shared" si="112"/>
        <v>-</v>
      </c>
      <c r="AJ274" s="82">
        <f t="shared" si="113"/>
        <v>5</v>
      </c>
      <c r="AK274" s="82" t="str">
        <f t="shared" si="114"/>
        <v>-</v>
      </c>
      <c r="AL274" s="82" t="str">
        <f t="shared" si="115"/>
        <v>Identifica este registro como MUJER</v>
      </c>
      <c r="AM274" s="82" t="str">
        <f t="shared" si="116"/>
        <v>-</v>
      </c>
      <c r="AN274" s="82" t="str">
        <f t="shared" si="117"/>
        <v>-</v>
      </c>
      <c r="AO274" s="82" t="str">
        <f t="shared" si="118"/>
        <v>-</v>
      </c>
      <c r="AP274" s="57" t="str">
        <f t="shared" si="119"/>
        <v>-</v>
      </c>
      <c r="AQ274" s="86" t="str">
        <f t="shared" si="120"/>
        <v>-</v>
      </c>
      <c r="AR274" s="86" t="str">
        <f>IF(N274="","PRIMER_DIA en blanco",
IF(AND(M274="01",N274&gt;=L_Conversion!$C$118,N274&lt;=L_Conversion!$D$118),"-",
IF(AND(M274="02",N274&gt;=L_Conversion!$C$119,N274&lt;=L_Conversion!$D$119),"-",
IF(AND(M274="03",N274&gt;=L_Conversion!$C$120,N274&lt;=L_Conversion!$D$120),"-",
IF(AND(M274="04",N274&gt;=L_Conversion!$C$121,N274&lt;=L_Conversion!$D$121),"-",
IF(AND(M274="05",N274&gt;=L_Conversion!$C$122,N274&lt;=L_Conversion!$D$122),"-",
IF(AND(M274="06",N274&gt;=L_Conversion!$C$123,N274&lt;=L_Conversion!$D$123),"-",
IF(AND(M274="07",N274&gt;=L_Conversion!$C$124,N274&lt;=L_Conversion!$D$124),"-",
IF(AND(M274="08",N274&gt;=L_Conversion!$C$125,N274&lt;=L_Conversion!$D$125),"-",
IF(AND(M274="09",N274&gt;=L_Conversion!$C$126,N274&lt;=L_Conversion!$D$126),"-",
IF(AND(M274="10",N274&gt;=L_Conversion!$C$127,N274&lt;=L_Conversion!$D$127),"-",
IF(AND(M274="11",N274&gt;=L_Conversion!$C$128,N274&lt;=L_Conversion!$D$128),"-",
IF(AND(M274="12",N274&gt;=L_Conversion!$C$129,N274&lt;=L_Conversion!$D$129),"-",
IF(AND(M274="13",N274&gt;=L_Conversion!$C$116,N274&lt;=L_Conversion!$D$116),"-",
IF(AND(M274="14",N274&gt;=L_Conversion!$C$117,N274&lt;=L_Conversion!$D$117),"-",
"PRIMER_DIA fuera de rango")))))))))))))))</f>
        <v>-</v>
      </c>
      <c r="AS274" s="86" t="str">
        <f t="shared" si="121"/>
        <v>-</v>
      </c>
      <c r="AT274" s="86" t="str">
        <f t="shared" si="122"/>
        <v>-</v>
      </c>
      <c r="AU274" s="86" t="str">
        <f t="shared" si="123"/>
        <v>-</v>
      </c>
      <c r="AV274" s="86" t="str">
        <f t="shared" si="124"/>
        <v>-</v>
      </c>
      <c r="AW274" s="86" t="str">
        <f t="shared" si="125"/>
        <v>-</v>
      </c>
      <c r="AX274" s="86" t="str">
        <f t="shared" si="126"/>
        <v>-</v>
      </c>
      <c r="AY274" s="86" t="str">
        <f t="shared" si="127"/>
        <v>-</v>
      </c>
      <c r="AZ274" s="86" t="str">
        <f t="shared" si="128"/>
        <v>-</v>
      </c>
      <c r="BA274" s="86" t="str">
        <f t="shared" si="129"/>
        <v>-</v>
      </c>
      <c r="BB274" s="86" t="str">
        <f t="shared" si="130"/>
        <v>-</v>
      </c>
      <c r="BC274" s="86" t="str">
        <f t="shared" si="131"/>
        <v>-</v>
      </c>
      <c r="BD274" s="86" t="str">
        <f t="shared" si="132"/>
        <v>-</v>
      </c>
      <c r="BE274" s="86" t="str">
        <f t="shared" si="133"/>
        <v>-</v>
      </c>
      <c r="BF274" s="86" t="str">
        <f t="shared" si="134"/>
        <v>-</v>
      </c>
    </row>
    <row r="275" spans="1:58" x14ac:dyDescent="0.2">
      <c r="A275" s="19" t="s">
        <v>1144</v>
      </c>
      <c r="B275" s="19" t="s">
        <v>676</v>
      </c>
      <c r="C275" s="19">
        <v>12021775</v>
      </c>
      <c r="D275" s="81">
        <v>5</v>
      </c>
      <c r="E275" s="19" t="s">
        <v>1170</v>
      </c>
      <c r="F275" s="19" t="s">
        <v>1183</v>
      </c>
      <c r="G275" s="19" t="s">
        <v>1591</v>
      </c>
      <c r="H275" s="19" t="s">
        <v>1033</v>
      </c>
      <c r="I275" s="19" t="s">
        <v>663</v>
      </c>
      <c r="J275" s="19">
        <v>80</v>
      </c>
      <c r="K275" s="19" t="s">
        <v>563</v>
      </c>
      <c r="L275" s="19" t="s">
        <v>516</v>
      </c>
      <c r="M275" s="19" t="s">
        <v>16</v>
      </c>
      <c r="N275" s="19">
        <v>45727</v>
      </c>
      <c r="O275" s="19">
        <v>3</v>
      </c>
      <c r="P275" s="81">
        <v>1</v>
      </c>
      <c r="Q275" s="19" t="s">
        <v>23</v>
      </c>
      <c r="R275" s="19" t="s">
        <v>11</v>
      </c>
      <c r="S275" s="19" t="s">
        <v>23</v>
      </c>
      <c r="T275" s="19">
        <v>3</v>
      </c>
      <c r="U275" s="19" t="s">
        <v>11</v>
      </c>
      <c r="V275" s="19" t="s">
        <v>19</v>
      </c>
      <c r="W275" s="19" t="s">
        <v>19</v>
      </c>
      <c r="X275" s="19">
        <v>55073</v>
      </c>
      <c r="Y275" s="19" t="s">
        <v>735</v>
      </c>
      <c r="Z275" s="19">
        <v>3</v>
      </c>
      <c r="AA275" s="19">
        <v>55073</v>
      </c>
      <c r="AB275" s="19">
        <v>55073</v>
      </c>
      <c r="AC275" s="178" t="str">
        <f>IF(OR(M275="13",M275="14",P275=8),"",IF(AND(OR(S275="AUTORIZADO", S275="PENDIENTE", S275="REDUCIDO", S275="AMPLIADO"),L275&lt;&gt;"HONORARIO" ), CONCATENATE(IF(H275="X","H",H275),"_",IF(OR(P275=5,P275=6),_xlfn.CONCAT(P275,"A"),P275),"_",VLOOKUP(T275,Datos!$B$2:$C$5,2,TRUE)),""))</f>
        <v>M_1_[hasta 3]</v>
      </c>
      <c r="AD275" s="178">
        <f t="shared" si="108"/>
        <v>110146</v>
      </c>
      <c r="AE275" s="82" t="str">
        <f t="shared" si="109"/>
        <v>-</v>
      </c>
      <c r="AF275" s="83" t="str">
        <f t="shared" si="110"/>
        <v>Revisar</v>
      </c>
      <c r="AG275" s="84"/>
      <c r="AH275" s="85" t="str">
        <f t="shared" si="111"/>
        <v>Corporación de Fomento de la Producción</v>
      </c>
      <c r="AI275" s="82" t="str">
        <f t="shared" si="112"/>
        <v>-</v>
      </c>
      <c r="AJ275" s="82">
        <f t="shared" si="113"/>
        <v>5</v>
      </c>
      <c r="AK275" s="82" t="str">
        <f t="shared" si="114"/>
        <v>-</v>
      </c>
      <c r="AL275" s="82" t="str">
        <f t="shared" si="115"/>
        <v>Identifica este registro como MUJER</v>
      </c>
      <c r="AM275" s="82" t="str">
        <f t="shared" si="116"/>
        <v>-</v>
      </c>
      <c r="AN275" s="82" t="str">
        <f t="shared" si="117"/>
        <v>-</v>
      </c>
      <c r="AO275" s="82" t="str">
        <f t="shared" si="118"/>
        <v>-</v>
      </c>
      <c r="AP275" s="57" t="str">
        <f t="shared" si="119"/>
        <v>-</v>
      </c>
      <c r="AQ275" s="86" t="str">
        <f t="shared" si="120"/>
        <v>-</v>
      </c>
      <c r="AR275" s="86" t="str">
        <f>IF(N275="","PRIMER_DIA en blanco",
IF(AND(M275="01",N275&gt;=L_Conversion!$C$118,N275&lt;=L_Conversion!$D$118),"-",
IF(AND(M275="02",N275&gt;=L_Conversion!$C$119,N275&lt;=L_Conversion!$D$119),"-",
IF(AND(M275="03",N275&gt;=L_Conversion!$C$120,N275&lt;=L_Conversion!$D$120),"-",
IF(AND(M275="04",N275&gt;=L_Conversion!$C$121,N275&lt;=L_Conversion!$D$121),"-",
IF(AND(M275="05",N275&gt;=L_Conversion!$C$122,N275&lt;=L_Conversion!$D$122),"-",
IF(AND(M275="06",N275&gt;=L_Conversion!$C$123,N275&lt;=L_Conversion!$D$123),"-",
IF(AND(M275="07",N275&gt;=L_Conversion!$C$124,N275&lt;=L_Conversion!$D$124),"-",
IF(AND(M275="08",N275&gt;=L_Conversion!$C$125,N275&lt;=L_Conversion!$D$125),"-",
IF(AND(M275="09",N275&gt;=L_Conversion!$C$126,N275&lt;=L_Conversion!$D$126),"-",
IF(AND(M275="10",N275&gt;=L_Conversion!$C$127,N275&lt;=L_Conversion!$D$127),"-",
IF(AND(M275="11",N275&gt;=L_Conversion!$C$128,N275&lt;=L_Conversion!$D$128),"-",
IF(AND(M275="12",N275&gt;=L_Conversion!$C$129,N275&lt;=L_Conversion!$D$129),"-",
IF(AND(M275="13",N275&gt;=L_Conversion!$C$116,N275&lt;=L_Conversion!$D$116),"-",
IF(AND(M275="14",N275&gt;=L_Conversion!$C$117,N275&lt;=L_Conversion!$D$117),"-",
"PRIMER_DIA fuera de rango")))))))))))))))</f>
        <v>-</v>
      </c>
      <c r="AS275" s="86" t="str">
        <f t="shared" si="121"/>
        <v>-</v>
      </c>
      <c r="AT275" s="86" t="str">
        <f t="shared" si="122"/>
        <v>-</v>
      </c>
      <c r="AU275" s="86" t="str">
        <f t="shared" si="123"/>
        <v>-</v>
      </c>
      <c r="AV275" s="86" t="str">
        <f t="shared" si="124"/>
        <v>-</v>
      </c>
      <c r="AW275" s="86" t="str">
        <f t="shared" si="125"/>
        <v>-</v>
      </c>
      <c r="AX275" s="86" t="str">
        <f t="shared" si="126"/>
        <v>-</v>
      </c>
      <c r="AY275" s="86" t="str">
        <f t="shared" si="127"/>
        <v>-</v>
      </c>
      <c r="AZ275" s="86" t="str">
        <f t="shared" si="128"/>
        <v>-</v>
      </c>
      <c r="BA275" s="86" t="str">
        <f t="shared" si="129"/>
        <v>-</v>
      </c>
      <c r="BB275" s="86" t="str">
        <f t="shared" si="130"/>
        <v>-</v>
      </c>
      <c r="BC275" s="86" t="str">
        <f t="shared" si="131"/>
        <v>-</v>
      </c>
      <c r="BD275" s="86" t="str">
        <f t="shared" si="132"/>
        <v>-</v>
      </c>
      <c r="BE275" s="86" t="str">
        <f t="shared" si="133"/>
        <v>-</v>
      </c>
      <c r="BF275" s="86" t="str">
        <f t="shared" si="134"/>
        <v>-</v>
      </c>
    </row>
    <row r="276" spans="1:58" x14ac:dyDescent="0.2">
      <c r="A276" s="19" t="s">
        <v>1144</v>
      </c>
      <c r="B276" s="19" t="s">
        <v>76</v>
      </c>
      <c r="C276" s="19">
        <v>7944963</v>
      </c>
      <c r="D276" s="81">
        <v>6</v>
      </c>
      <c r="E276" s="19" t="s">
        <v>1279</v>
      </c>
      <c r="F276" s="19" t="s">
        <v>1155</v>
      </c>
      <c r="G276" s="19" t="s">
        <v>1280</v>
      </c>
      <c r="H276" s="19" t="s">
        <v>663</v>
      </c>
      <c r="I276" s="19" t="s">
        <v>662</v>
      </c>
      <c r="J276" s="19">
        <v>60</v>
      </c>
      <c r="K276" s="19" t="s">
        <v>563</v>
      </c>
      <c r="L276" s="19" t="s">
        <v>497</v>
      </c>
      <c r="M276" s="19" t="s">
        <v>16</v>
      </c>
      <c r="N276" s="19">
        <v>45727</v>
      </c>
      <c r="O276" s="19">
        <v>4</v>
      </c>
      <c r="P276" s="81">
        <v>1</v>
      </c>
      <c r="Q276" s="19" t="s">
        <v>23</v>
      </c>
      <c r="R276" s="19" t="s">
        <v>11</v>
      </c>
      <c r="S276" s="19" t="s">
        <v>23</v>
      </c>
      <c r="T276" s="19">
        <v>4</v>
      </c>
      <c r="U276" s="19" t="s">
        <v>11</v>
      </c>
      <c r="V276" s="19" t="s">
        <v>11</v>
      </c>
      <c r="W276" s="19" t="s">
        <v>19</v>
      </c>
      <c r="X276" s="19">
        <v>170725</v>
      </c>
      <c r="Y276" s="19" t="s">
        <v>735</v>
      </c>
      <c r="Z276" s="19">
        <v>4</v>
      </c>
      <c r="AA276" s="19">
        <v>170725</v>
      </c>
      <c r="AB276" s="19">
        <v>170725</v>
      </c>
      <c r="AC276" s="178" t="str">
        <f>IF(OR(M276="13",M276="14",P276=8),"",IF(AND(OR(S276="AUTORIZADO", S276="PENDIENTE", S276="REDUCIDO", S276="AMPLIADO"),L276&lt;&gt;"HONORARIO" ), CONCATENATE(IF(H276="X","H",H276),"_",IF(OR(P276=5,P276=6),_xlfn.CONCAT(P276,"A"),P276),"_",VLOOKUP(T276,Datos!$B$2:$C$5,2,TRUE)),""))</f>
        <v>H_1_[4 a 10]</v>
      </c>
      <c r="AD276" s="178">
        <f t="shared" si="108"/>
        <v>341450</v>
      </c>
      <c r="AE276" s="82" t="str">
        <f t="shared" si="109"/>
        <v>-</v>
      </c>
      <c r="AF276" s="83" t="str">
        <f t="shared" si="110"/>
        <v>070601</v>
      </c>
      <c r="AG276" s="84"/>
      <c r="AH276" s="85" t="str">
        <f t="shared" si="111"/>
        <v>Corporación de Fomento de la Producción</v>
      </c>
      <c r="AI276" s="82" t="str">
        <f t="shared" si="112"/>
        <v>-</v>
      </c>
      <c r="AJ276" s="82">
        <f t="shared" si="113"/>
        <v>6</v>
      </c>
      <c r="AK276" s="82" t="str">
        <f t="shared" si="114"/>
        <v>-</v>
      </c>
      <c r="AL276" s="82" t="str">
        <f t="shared" si="115"/>
        <v>Identifica este registro como HOMBRE</v>
      </c>
      <c r="AM276" s="82" t="str">
        <f t="shared" si="116"/>
        <v>-</v>
      </c>
      <c r="AN276" s="82" t="str">
        <f t="shared" si="117"/>
        <v>-</v>
      </c>
      <c r="AO276" s="82" t="str">
        <f t="shared" si="118"/>
        <v>-</v>
      </c>
      <c r="AP276" s="57" t="str">
        <f t="shared" si="119"/>
        <v>-</v>
      </c>
      <c r="AQ276" s="86" t="str">
        <f t="shared" si="120"/>
        <v>-</v>
      </c>
      <c r="AR276" s="86" t="str">
        <f>IF(N276="","PRIMER_DIA en blanco",
IF(AND(M276="01",N276&gt;=L_Conversion!$C$118,N276&lt;=L_Conversion!$D$118),"-",
IF(AND(M276="02",N276&gt;=L_Conversion!$C$119,N276&lt;=L_Conversion!$D$119),"-",
IF(AND(M276="03",N276&gt;=L_Conversion!$C$120,N276&lt;=L_Conversion!$D$120),"-",
IF(AND(M276="04",N276&gt;=L_Conversion!$C$121,N276&lt;=L_Conversion!$D$121),"-",
IF(AND(M276="05",N276&gt;=L_Conversion!$C$122,N276&lt;=L_Conversion!$D$122),"-",
IF(AND(M276="06",N276&gt;=L_Conversion!$C$123,N276&lt;=L_Conversion!$D$123),"-",
IF(AND(M276="07",N276&gt;=L_Conversion!$C$124,N276&lt;=L_Conversion!$D$124),"-",
IF(AND(M276="08",N276&gt;=L_Conversion!$C$125,N276&lt;=L_Conversion!$D$125),"-",
IF(AND(M276="09",N276&gt;=L_Conversion!$C$126,N276&lt;=L_Conversion!$D$126),"-",
IF(AND(M276="10",N276&gt;=L_Conversion!$C$127,N276&lt;=L_Conversion!$D$127),"-",
IF(AND(M276="11",N276&gt;=L_Conversion!$C$128,N276&lt;=L_Conversion!$D$128),"-",
IF(AND(M276="12",N276&gt;=L_Conversion!$C$129,N276&lt;=L_Conversion!$D$129),"-",
IF(AND(M276="13",N276&gt;=L_Conversion!$C$116,N276&lt;=L_Conversion!$D$116),"-",
IF(AND(M276="14",N276&gt;=L_Conversion!$C$117,N276&lt;=L_Conversion!$D$117),"-",
"PRIMER_DIA fuera de rango")))))))))))))))</f>
        <v>-</v>
      </c>
      <c r="AS276" s="86" t="str">
        <f t="shared" si="121"/>
        <v>-</v>
      </c>
      <c r="AT276" s="86" t="str">
        <f t="shared" si="122"/>
        <v>-</v>
      </c>
      <c r="AU276" s="86" t="str">
        <f t="shared" si="123"/>
        <v>-</v>
      </c>
      <c r="AV276" s="86" t="str">
        <f t="shared" si="124"/>
        <v>-</v>
      </c>
      <c r="AW276" s="86" t="str">
        <f t="shared" si="125"/>
        <v>-</v>
      </c>
      <c r="AX276" s="86" t="str">
        <f t="shared" si="126"/>
        <v>-</v>
      </c>
      <c r="AY276" s="86" t="str">
        <f t="shared" si="127"/>
        <v>-</v>
      </c>
      <c r="AZ276" s="86" t="str">
        <f t="shared" si="128"/>
        <v>-</v>
      </c>
      <c r="BA276" s="86" t="str">
        <f t="shared" si="129"/>
        <v>-</v>
      </c>
      <c r="BB276" s="86" t="str">
        <f t="shared" si="130"/>
        <v>-</v>
      </c>
      <c r="BC276" s="86" t="str">
        <f t="shared" si="131"/>
        <v>-</v>
      </c>
      <c r="BD276" s="86" t="str">
        <f t="shared" si="132"/>
        <v>-</v>
      </c>
      <c r="BE276" s="86" t="str">
        <f t="shared" si="133"/>
        <v>-</v>
      </c>
      <c r="BF276" s="86" t="str">
        <f t="shared" si="134"/>
        <v>-</v>
      </c>
    </row>
    <row r="277" spans="1:58" x14ac:dyDescent="0.2">
      <c r="A277" s="19" t="s">
        <v>1144</v>
      </c>
      <c r="B277" s="19" t="s">
        <v>76</v>
      </c>
      <c r="C277" s="19">
        <v>12630178</v>
      </c>
      <c r="D277" s="81">
        <v>2</v>
      </c>
      <c r="E277" s="19" t="s">
        <v>1296</v>
      </c>
      <c r="F277" s="19" t="s">
        <v>1163</v>
      </c>
      <c r="G277" s="19" t="s">
        <v>1297</v>
      </c>
      <c r="H277" s="19" t="s">
        <v>1033</v>
      </c>
      <c r="I277" s="19" t="s">
        <v>662</v>
      </c>
      <c r="J277" s="19">
        <v>80</v>
      </c>
      <c r="K277" s="19" t="s">
        <v>563</v>
      </c>
      <c r="L277" s="19" t="s">
        <v>502</v>
      </c>
      <c r="M277" s="19" t="s">
        <v>16</v>
      </c>
      <c r="N277" s="19">
        <v>45727</v>
      </c>
      <c r="O277" s="19">
        <v>29</v>
      </c>
      <c r="P277" s="81">
        <v>1</v>
      </c>
      <c r="Q277" s="19" t="s">
        <v>23</v>
      </c>
      <c r="R277" s="19" t="s">
        <v>11</v>
      </c>
      <c r="S277" s="19" t="s">
        <v>23</v>
      </c>
      <c r="T277" s="19">
        <v>29</v>
      </c>
      <c r="U277" s="19" t="s">
        <v>11</v>
      </c>
      <c r="V277" s="19" t="s">
        <v>11</v>
      </c>
      <c r="W277" s="19" t="s">
        <v>19</v>
      </c>
      <c r="X277" s="19">
        <v>391149</v>
      </c>
      <c r="Y277" s="19" t="s">
        <v>735</v>
      </c>
      <c r="Z277" s="19">
        <v>29</v>
      </c>
      <c r="AA277" s="19">
        <v>391149</v>
      </c>
      <c r="AB277" s="19">
        <v>391149</v>
      </c>
      <c r="AC277" s="178" t="str">
        <f>IF(OR(M277="13",M277="14",P277=8),"",IF(AND(OR(S277="AUTORIZADO", S277="PENDIENTE", S277="REDUCIDO", S277="AMPLIADO"),L277&lt;&gt;"HONORARIO" ), CONCATENATE(IF(H277="X","H",H277),"_",IF(OR(P277=5,P277=6),_xlfn.CONCAT(P277,"A"),P277),"_",VLOOKUP(T277,Datos!$B$2:$C$5,2,TRUE)),""))</f>
        <v>M_1_[11 +]</v>
      </c>
      <c r="AD277" s="178">
        <f t="shared" si="108"/>
        <v>782298</v>
      </c>
      <c r="AE277" s="82" t="str">
        <f t="shared" si="109"/>
        <v>-</v>
      </c>
      <c r="AF277" s="83" t="str">
        <f t="shared" si="110"/>
        <v>070601</v>
      </c>
      <c r="AG277" s="84"/>
      <c r="AH277" s="85" t="str">
        <f t="shared" si="111"/>
        <v>Corporación de Fomento de la Producción</v>
      </c>
      <c r="AI277" s="82" t="str">
        <f t="shared" si="112"/>
        <v>-</v>
      </c>
      <c r="AJ277" s="82">
        <f t="shared" si="113"/>
        <v>2</v>
      </c>
      <c r="AK277" s="82" t="str">
        <f t="shared" si="114"/>
        <v>-</v>
      </c>
      <c r="AL277" s="82" t="str">
        <f t="shared" si="115"/>
        <v>Identifica este registro como MUJER</v>
      </c>
      <c r="AM277" s="82" t="str">
        <f t="shared" si="116"/>
        <v>-</v>
      </c>
      <c r="AN277" s="82" t="str">
        <f t="shared" si="117"/>
        <v>-</v>
      </c>
      <c r="AO277" s="82" t="str">
        <f t="shared" si="118"/>
        <v>-</v>
      </c>
      <c r="AP277" s="57" t="str">
        <f t="shared" si="119"/>
        <v>-</v>
      </c>
      <c r="AQ277" s="86" t="str">
        <f t="shared" si="120"/>
        <v>-</v>
      </c>
      <c r="AR277" s="86" t="str">
        <f>IF(N277="","PRIMER_DIA en blanco",
IF(AND(M277="01",N277&gt;=L_Conversion!$C$118,N277&lt;=L_Conversion!$D$118),"-",
IF(AND(M277="02",N277&gt;=L_Conversion!$C$119,N277&lt;=L_Conversion!$D$119),"-",
IF(AND(M277="03",N277&gt;=L_Conversion!$C$120,N277&lt;=L_Conversion!$D$120),"-",
IF(AND(M277="04",N277&gt;=L_Conversion!$C$121,N277&lt;=L_Conversion!$D$121),"-",
IF(AND(M277="05",N277&gt;=L_Conversion!$C$122,N277&lt;=L_Conversion!$D$122),"-",
IF(AND(M277="06",N277&gt;=L_Conversion!$C$123,N277&lt;=L_Conversion!$D$123),"-",
IF(AND(M277="07",N277&gt;=L_Conversion!$C$124,N277&lt;=L_Conversion!$D$124),"-",
IF(AND(M277="08",N277&gt;=L_Conversion!$C$125,N277&lt;=L_Conversion!$D$125),"-",
IF(AND(M277="09",N277&gt;=L_Conversion!$C$126,N277&lt;=L_Conversion!$D$126),"-",
IF(AND(M277="10",N277&gt;=L_Conversion!$C$127,N277&lt;=L_Conversion!$D$127),"-",
IF(AND(M277="11",N277&gt;=L_Conversion!$C$128,N277&lt;=L_Conversion!$D$128),"-",
IF(AND(M277="12",N277&gt;=L_Conversion!$C$129,N277&lt;=L_Conversion!$D$129),"-",
IF(AND(M277="13",N277&gt;=L_Conversion!$C$116,N277&lt;=L_Conversion!$D$116),"-",
IF(AND(M277="14",N277&gt;=L_Conversion!$C$117,N277&lt;=L_Conversion!$D$117),"-",
"PRIMER_DIA fuera de rango")))))))))))))))</f>
        <v>-</v>
      </c>
      <c r="AS277" s="86" t="str">
        <f t="shared" si="121"/>
        <v>-</v>
      </c>
      <c r="AT277" s="86" t="str">
        <f t="shared" si="122"/>
        <v>-</v>
      </c>
      <c r="AU277" s="86" t="str">
        <f t="shared" si="123"/>
        <v>-</v>
      </c>
      <c r="AV277" s="86" t="str">
        <f t="shared" si="124"/>
        <v>-</v>
      </c>
      <c r="AW277" s="86" t="str">
        <f t="shared" si="125"/>
        <v>-</v>
      </c>
      <c r="AX277" s="86" t="str">
        <f t="shared" si="126"/>
        <v>-</v>
      </c>
      <c r="AY277" s="86" t="str">
        <f t="shared" si="127"/>
        <v>-</v>
      </c>
      <c r="AZ277" s="86" t="str">
        <f t="shared" si="128"/>
        <v>-</v>
      </c>
      <c r="BA277" s="86" t="str">
        <f t="shared" si="129"/>
        <v>-</v>
      </c>
      <c r="BB277" s="86" t="str">
        <f t="shared" si="130"/>
        <v>-</v>
      </c>
      <c r="BC277" s="86" t="str">
        <f t="shared" si="131"/>
        <v>-</v>
      </c>
      <c r="BD277" s="86" t="str">
        <f t="shared" si="132"/>
        <v>-</v>
      </c>
      <c r="BE277" s="86" t="str">
        <f t="shared" si="133"/>
        <v>-</v>
      </c>
      <c r="BF277" s="86" t="str">
        <f t="shared" si="134"/>
        <v>-</v>
      </c>
    </row>
    <row r="278" spans="1:58" x14ac:dyDescent="0.2">
      <c r="A278" s="19" t="s">
        <v>1144</v>
      </c>
      <c r="B278" s="19" t="s">
        <v>76</v>
      </c>
      <c r="C278" s="19">
        <v>9212310</v>
      </c>
      <c r="D278" s="81">
        <v>3</v>
      </c>
      <c r="E278" s="19" t="s">
        <v>1592</v>
      </c>
      <c r="F278" s="19" t="s">
        <v>1210</v>
      </c>
      <c r="G278" s="19" t="s">
        <v>1593</v>
      </c>
      <c r="H278" s="19" t="s">
        <v>663</v>
      </c>
      <c r="I278" s="19" t="s">
        <v>662</v>
      </c>
      <c r="J278" s="19">
        <v>60</v>
      </c>
      <c r="K278" s="19" t="s">
        <v>567</v>
      </c>
      <c r="L278" s="19" t="s">
        <v>497</v>
      </c>
      <c r="M278" s="19" t="s">
        <v>16</v>
      </c>
      <c r="N278" s="19">
        <v>45728</v>
      </c>
      <c r="O278" s="19">
        <v>17</v>
      </c>
      <c r="P278" s="81">
        <v>1</v>
      </c>
      <c r="Q278" s="19" t="s">
        <v>23</v>
      </c>
      <c r="R278" s="19" t="s">
        <v>11</v>
      </c>
      <c r="S278" s="19" t="s">
        <v>23</v>
      </c>
      <c r="T278" s="19">
        <v>17</v>
      </c>
      <c r="U278" s="19" t="s">
        <v>11</v>
      </c>
      <c r="V278" s="19" t="s">
        <v>11</v>
      </c>
      <c r="W278" s="19" t="s">
        <v>19</v>
      </c>
      <c r="X278" s="19">
        <v>1210704</v>
      </c>
      <c r="Y278" s="19" t="s">
        <v>735</v>
      </c>
      <c r="Z278" s="19">
        <v>17</v>
      </c>
      <c r="AA278" s="19">
        <v>1210704</v>
      </c>
      <c r="AB278" s="19">
        <v>1210704</v>
      </c>
      <c r="AC278" s="178" t="str">
        <f>IF(OR(M278="13",M278="14",P278=8),"",IF(AND(OR(S278="AUTORIZADO", S278="PENDIENTE", S278="REDUCIDO", S278="AMPLIADO"),L278&lt;&gt;"HONORARIO" ), CONCATENATE(IF(H278="X","H",H278),"_",IF(OR(P278=5,P278=6),_xlfn.CONCAT(P278,"A"),P278),"_",VLOOKUP(T278,Datos!$B$2:$C$5,2,TRUE)),""))</f>
        <v>H_1_[11 +]</v>
      </c>
      <c r="AD278" s="178">
        <f t="shared" si="108"/>
        <v>2421408</v>
      </c>
      <c r="AE278" s="82" t="str">
        <f t="shared" si="109"/>
        <v>-</v>
      </c>
      <c r="AF278" s="83" t="str">
        <f t="shared" si="110"/>
        <v>070601</v>
      </c>
      <c r="AG278" s="84"/>
      <c r="AH278" s="85" t="str">
        <f t="shared" si="111"/>
        <v>Corporación de Fomento de la Producción</v>
      </c>
      <c r="AI278" s="82" t="str">
        <f t="shared" si="112"/>
        <v>-</v>
      </c>
      <c r="AJ278" s="82">
        <f t="shared" si="113"/>
        <v>3</v>
      </c>
      <c r="AK278" s="82" t="str">
        <f t="shared" si="114"/>
        <v>-</v>
      </c>
      <c r="AL278" s="82" t="str">
        <f t="shared" si="115"/>
        <v>Identifica este registro como HOMBRE</v>
      </c>
      <c r="AM278" s="82" t="str">
        <f t="shared" si="116"/>
        <v>-</v>
      </c>
      <c r="AN278" s="82" t="str">
        <f t="shared" si="117"/>
        <v>-</v>
      </c>
      <c r="AO278" s="82" t="str">
        <f t="shared" si="118"/>
        <v>-</v>
      </c>
      <c r="AP278" s="57" t="str">
        <f t="shared" si="119"/>
        <v>-</v>
      </c>
      <c r="AQ278" s="86" t="str">
        <f t="shared" si="120"/>
        <v>-</v>
      </c>
      <c r="AR278" s="86" t="str">
        <f>IF(N278="","PRIMER_DIA en blanco",
IF(AND(M278="01",N278&gt;=L_Conversion!$C$118,N278&lt;=L_Conversion!$D$118),"-",
IF(AND(M278="02",N278&gt;=L_Conversion!$C$119,N278&lt;=L_Conversion!$D$119),"-",
IF(AND(M278="03",N278&gt;=L_Conversion!$C$120,N278&lt;=L_Conversion!$D$120),"-",
IF(AND(M278="04",N278&gt;=L_Conversion!$C$121,N278&lt;=L_Conversion!$D$121),"-",
IF(AND(M278="05",N278&gt;=L_Conversion!$C$122,N278&lt;=L_Conversion!$D$122),"-",
IF(AND(M278="06",N278&gt;=L_Conversion!$C$123,N278&lt;=L_Conversion!$D$123),"-",
IF(AND(M278="07",N278&gt;=L_Conversion!$C$124,N278&lt;=L_Conversion!$D$124),"-",
IF(AND(M278="08",N278&gt;=L_Conversion!$C$125,N278&lt;=L_Conversion!$D$125),"-",
IF(AND(M278="09",N278&gt;=L_Conversion!$C$126,N278&lt;=L_Conversion!$D$126),"-",
IF(AND(M278="10",N278&gt;=L_Conversion!$C$127,N278&lt;=L_Conversion!$D$127),"-",
IF(AND(M278="11",N278&gt;=L_Conversion!$C$128,N278&lt;=L_Conversion!$D$128),"-",
IF(AND(M278="12",N278&gt;=L_Conversion!$C$129,N278&lt;=L_Conversion!$D$129),"-",
IF(AND(M278="13",N278&gt;=L_Conversion!$C$116,N278&lt;=L_Conversion!$D$116),"-",
IF(AND(M278="14",N278&gt;=L_Conversion!$C$117,N278&lt;=L_Conversion!$D$117),"-",
"PRIMER_DIA fuera de rango")))))))))))))))</f>
        <v>-</v>
      </c>
      <c r="AS278" s="86" t="str">
        <f t="shared" si="121"/>
        <v>-</v>
      </c>
      <c r="AT278" s="86" t="str">
        <f t="shared" si="122"/>
        <v>-</v>
      </c>
      <c r="AU278" s="86" t="str">
        <f t="shared" si="123"/>
        <v>-</v>
      </c>
      <c r="AV278" s="86" t="str">
        <f t="shared" si="124"/>
        <v>-</v>
      </c>
      <c r="AW278" s="86" t="str">
        <f t="shared" si="125"/>
        <v>-</v>
      </c>
      <c r="AX278" s="86" t="str">
        <f t="shared" si="126"/>
        <v>-</v>
      </c>
      <c r="AY278" s="86" t="str">
        <f t="shared" si="127"/>
        <v>-</v>
      </c>
      <c r="AZ278" s="86" t="str">
        <f t="shared" si="128"/>
        <v>-</v>
      </c>
      <c r="BA278" s="86" t="str">
        <f t="shared" si="129"/>
        <v>-</v>
      </c>
      <c r="BB278" s="86" t="str">
        <f t="shared" si="130"/>
        <v>-</v>
      </c>
      <c r="BC278" s="86" t="str">
        <f t="shared" si="131"/>
        <v>-</v>
      </c>
      <c r="BD278" s="86" t="str">
        <f t="shared" si="132"/>
        <v>-</v>
      </c>
      <c r="BE278" s="86" t="str">
        <f t="shared" si="133"/>
        <v>-</v>
      </c>
      <c r="BF278" s="86" t="str">
        <f t="shared" si="134"/>
        <v>-</v>
      </c>
    </row>
    <row r="279" spans="1:58" x14ac:dyDescent="0.2">
      <c r="A279" s="19" t="s">
        <v>1144</v>
      </c>
      <c r="B279" s="19" t="s">
        <v>76</v>
      </c>
      <c r="C279" s="19">
        <v>12644650</v>
      </c>
      <c r="D279" s="81">
        <v>0</v>
      </c>
      <c r="E279" s="19" t="s">
        <v>1594</v>
      </c>
      <c r="F279" s="19" t="s">
        <v>1595</v>
      </c>
      <c r="G279" s="19" t="s">
        <v>1596</v>
      </c>
      <c r="H279" s="19" t="s">
        <v>663</v>
      </c>
      <c r="I279" s="19" t="s">
        <v>662</v>
      </c>
      <c r="J279" s="19">
        <v>80</v>
      </c>
      <c r="K279" s="19" t="s">
        <v>563</v>
      </c>
      <c r="L279" s="19" t="s">
        <v>502</v>
      </c>
      <c r="M279" s="19" t="s">
        <v>16</v>
      </c>
      <c r="N279" s="19">
        <v>45729</v>
      </c>
      <c r="O279" s="19">
        <v>2</v>
      </c>
      <c r="P279" s="81">
        <v>1</v>
      </c>
      <c r="Q279" s="19" t="s">
        <v>23</v>
      </c>
      <c r="R279" s="19" t="s">
        <v>11</v>
      </c>
      <c r="S279" s="19" t="s">
        <v>23</v>
      </c>
      <c r="T279" s="19">
        <v>2</v>
      </c>
      <c r="U279" s="19" t="s">
        <v>11</v>
      </c>
      <c r="V279" s="19" t="s">
        <v>19</v>
      </c>
      <c r="W279" s="19" t="s">
        <v>19</v>
      </c>
      <c r="X279" s="19">
        <v>46079</v>
      </c>
      <c r="Y279" s="19" t="s">
        <v>735</v>
      </c>
      <c r="Z279" s="19">
        <v>2</v>
      </c>
      <c r="AA279" s="19">
        <v>46079</v>
      </c>
      <c r="AB279" s="19">
        <v>46079</v>
      </c>
      <c r="AC279" s="178" t="str">
        <f>IF(OR(M279="13",M279="14",P279=8),"",IF(AND(OR(S279="AUTORIZADO", S279="PENDIENTE", S279="REDUCIDO", S279="AMPLIADO"),L279&lt;&gt;"HONORARIO" ), CONCATENATE(IF(H279="X","H",H279),"_",IF(OR(P279=5,P279=6),_xlfn.CONCAT(P279,"A"),P279),"_",VLOOKUP(T279,Datos!$B$2:$C$5,2,TRUE)),""))</f>
        <v>H_1_[hasta 3]</v>
      </c>
      <c r="AD279" s="178">
        <f t="shared" si="108"/>
        <v>92158</v>
      </c>
      <c r="AE279" s="82" t="str">
        <f t="shared" si="109"/>
        <v>-</v>
      </c>
      <c r="AF279" s="83" t="str">
        <f t="shared" si="110"/>
        <v>070601</v>
      </c>
      <c r="AG279" s="84"/>
      <c r="AH279" s="85" t="str">
        <f t="shared" si="111"/>
        <v>Corporación de Fomento de la Producción</v>
      </c>
      <c r="AI279" s="82" t="str">
        <f t="shared" si="112"/>
        <v>-</v>
      </c>
      <c r="AJ279" s="82">
        <f t="shared" si="113"/>
        <v>0</v>
      </c>
      <c r="AK279" s="82" t="str">
        <f t="shared" si="114"/>
        <v>-</v>
      </c>
      <c r="AL279" s="82" t="str">
        <f t="shared" si="115"/>
        <v>Identifica este registro como HOMBRE</v>
      </c>
      <c r="AM279" s="82" t="str">
        <f t="shared" si="116"/>
        <v>-</v>
      </c>
      <c r="AN279" s="82" t="str">
        <f t="shared" si="117"/>
        <v>-</v>
      </c>
      <c r="AO279" s="82" t="str">
        <f t="shared" si="118"/>
        <v>-</v>
      </c>
      <c r="AP279" s="57" t="str">
        <f t="shared" si="119"/>
        <v>-</v>
      </c>
      <c r="AQ279" s="86" t="str">
        <f t="shared" si="120"/>
        <v>-</v>
      </c>
      <c r="AR279" s="86" t="str">
        <f>IF(N279="","PRIMER_DIA en blanco",
IF(AND(M279="01",N279&gt;=L_Conversion!$C$118,N279&lt;=L_Conversion!$D$118),"-",
IF(AND(M279="02",N279&gt;=L_Conversion!$C$119,N279&lt;=L_Conversion!$D$119),"-",
IF(AND(M279="03",N279&gt;=L_Conversion!$C$120,N279&lt;=L_Conversion!$D$120),"-",
IF(AND(M279="04",N279&gt;=L_Conversion!$C$121,N279&lt;=L_Conversion!$D$121),"-",
IF(AND(M279="05",N279&gt;=L_Conversion!$C$122,N279&lt;=L_Conversion!$D$122),"-",
IF(AND(M279="06",N279&gt;=L_Conversion!$C$123,N279&lt;=L_Conversion!$D$123),"-",
IF(AND(M279="07",N279&gt;=L_Conversion!$C$124,N279&lt;=L_Conversion!$D$124),"-",
IF(AND(M279="08",N279&gt;=L_Conversion!$C$125,N279&lt;=L_Conversion!$D$125),"-",
IF(AND(M279="09",N279&gt;=L_Conversion!$C$126,N279&lt;=L_Conversion!$D$126),"-",
IF(AND(M279="10",N279&gt;=L_Conversion!$C$127,N279&lt;=L_Conversion!$D$127),"-",
IF(AND(M279="11",N279&gt;=L_Conversion!$C$128,N279&lt;=L_Conversion!$D$128),"-",
IF(AND(M279="12",N279&gt;=L_Conversion!$C$129,N279&lt;=L_Conversion!$D$129),"-",
IF(AND(M279="13",N279&gt;=L_Conversion!$C$116,N279&lt;=L_Conversion!$D$116),"-",
IF(AND(M279="14",N279&gt;=L_Conversion!$C$117,N279&lt;=L_Conversion!$D$117),"-",
"PRIMER_DIA fuera de rango")))))))))))))))</f>
        <v>-</v>
      </c>
      <c r="AS279" s="86" t="str">
        <f t="shared" si="121"/>
        <v>-</v>
      </c>
      <c r="AT279" s="86" t="str">
        <f t="shared" si="122"/>
        <v>-</v>
      </c>
      <c r="AU279" s="86" t="str">
        <f t="shared" si="123"/>
        <v>-</v>
      </c>
      <c r="AV279" s="86" t="str">
        <f t="shared" si="124"/>
        <v>-</v>
      </c>
      <c r="AW279" s="86" t="str">
        <f t="shared" si="125"/>
        <v>-</v>
      </c>
      <c r="AX279" s="86" t="str">
        <f t="shared" si="126"/>
        <v>-</v>
      </c>
      <c r="AY279" s="86" t="str">
        <f t="shared" si="127"/>
        <v>-</v>
      </c>
      <c r="AZ279" s="86" t="str">
        <f t="shared" si="128"/>
        <v>-</v>
      </c>
      <c r="BA279" s="86" t="str">
        <f t="shared" si="129"/>
        <v>-</v>
      </c>
      <c r="BB279" s="86" t="str">
        <f t="shared" si="130"/>
        <v>-</v>
      </c>
      <c r="BC279" s="86" t="str">
        <f t="shared" si="131"/>
        <v>-</v>
      </c>
      <c r="BD279" s="86" t="str">
        <f t="shared" si="132"/>
        <v>-</v>
      </c>
      <c r="BE279" s="86" t="str">
        <f t="shared" si="133"/>
        <v>-</v>
      </c>
      <c r="BF279" s="86" t="str">
        <f t="shared" si="134"/>
        <v>-</v>
      </c>
    </row>
    <row r="280" spans="1:58" x14ac:dyDescent="0.2">
      <c r="A280" s="19" t="s">
        <v>1144</v>
      </c>
      <c r="B280" s="19" t="s">
        <v>76</v>
      </c>
      <c r="C280" s="19">
        <v>15589312</v>
      </c>
      <c r="D280" s="81">
        <v>5</v>
      </c>
      <c r="E280" s="19" t="s">
        <v>1597</v>
      </c>
      <c r="F280" s="19" t="s">
        <v>1152</v>
      </c>
      <c r="G280" s="19" t="s">
        <v>1598</v>
      </c>
      <c r="H280" s="19" t="s">
        <v>1033</v>
      </c>
      <c r="I280" s="19" t="s">
        <v>662</v>
      </c>
      <c r="J280" s="19">
        <v>60</v>
      </c>
      <c r="K280" s="19" t="s">
        <v>561</v>
      </c>
      <c r="L280" s="19" t="s">
        <v>497</v>
      </c>
      <c r="M280" s="19" t="s">
        <v>16</v>
      </c>
      <c r="N280" s="19">
        <v>45729</v>
      </c>
      <c r="O280" s="19">
        <v>1</v>
      </c>
      <c r="P280" s="81">
        <v>1</v>
      </c>
      <c r="Q280" s="19" t="s">
        <v>23</v>
      </c>
      <c r="R280" s="19" t="s">
        <v>11</v>
      </c>
      <c r="S280" s="19" t="s">
        <v>23</v>
      </c>
      <c r="T280" s="19">
        <v>1</v>
      </c>
      <c r="U280" s="19" t="s">
        <v>11</v>
      </c>
      <c r="V280" s="19" t="s">
        <v>19</v>
      </c>
      <c r="W280" s="19" t="s">
        <v>19</v>
      </c>
      <c r="X280" s="19">
        <v>20858</v>
      </c>
      <c r="Y280" s="19" t="s">
        <v>735</v>
      </c>
      <c r="Z280" s="19">
        <v>1</v>
      </c>
      <c r="AA280" s="19">
        <v>20858</v>
      </c>
      <c r="AB280" s="19">
        <v>20858</v>
      </c>
      <c r="AC280" s="178" t="str">
        <f>IF(OR(M280="13",M280="14",P280=8),"",IF(AND(OR(S280="AUTORIZADO", S280="PENDIENTE", S280="REDUCIDO", S280="AMPLIADO"),L280&lt;&gt;"HONORARIO" ), CONCATENATE(IF(H280="X","H",H280),"_",IF(OR(P280=5,P280=6),_xlfn.CONCAT(P280,"A"),P280),"_",VLOOKUP(T280,Datos!$B$2:$C$5,2,TRUE)),""))</f>
        <v>M_1_[hasta 3]</v>
      </c>
      <c r="AD280" s="178">
        <f t="shared" si="108"/>
        <v>41716</v>
      </c>
      <c r="AE280" s="82" t="str">
        <f t="shared" si="109"/>
        <v>-</v>
      </c>
      <c r="AF280" s="83" t="str">
        <f t="shared" si="110"/>
        <v>070601</v>
      </c>
      <c r="AG280" s="84"/>
      <c r="AH280" s="85" t="str">
        <f t="shared" si="111"/>
        <v>Corporación de Fomento de la Producción</v>
      </c>
      <c r="AI280" s="82" t="str">
        <f t="shared" si="112"/>
        <v>-</v>
      </c>
      <c r="AJ280" s="82">
        <f t="shared" si="113"/>
        <v>5</v>
      </c>
      <c r="AK280" s="82" t="str">
        <f t="shared" si="114"/>
        <v>-</v>
      </c>
      <c r="AL280" s="82" t="str">
        <f t="shared" si="115"/>
        <v>Identifica este registro como MUJER</v>
      </c>
      <c r="AM280" s="82" t="str">
        <f t="shared" si="116"/>
        <v>-</v>
      </c>
      <c r="AN280" s="82" t="str">
        <f t="shared" si="117"/>
        <v>-</v>
      </c>
      <c r="AO280" s="82" t="str">
        <f t="shared" si="118"/>
        <v>-</v>
      </c>
      <c r="AP280" s="57" t="str">
        <f t="shared" si="119"/>
        <v>-</v>
      </c>
      <c r="AQ280" s="86" t="str">
        <f t="shared" si="120"/>
        <v>-</v>
      </c>
      <c r="AR280" s="86" t="str">
        <f>IF(N280="","PRIMER_DIA en blanco",
IF(AND(M280="01",N280&gt;=L_Conversion!$C$118,N280&lt;=L_Conversion!$D$118),"-",
IF(AND(M280="02",N280&gt;=L_Conversion!$C$119,N280&lt;=L_Conversion!$D$119),"-",
IF(AND(M280="03",N280&gt;=L_Conversion!$C$120,N280&lt;=L_Conversion!$D$120),"-",
IF(AND(M280="04",N280&gt;=L_Conversion!$C$121,N280&lt;=L_Conversion!$D$121),"-",
IF(AND(M280="05",N280&gt;=L_Conversion!$C$122,N280&lt;=L_Conversion!$D$122),"-",
IF(AND(M280="06",N280&gt;=L_Conversion!$C$123,N280&lt;=L_Conversion!$D$123),"-",
IF(AND(M280="07",N280&gt;=L_Conversion!$C$124,N280&lt;=L_Conversion!$D$124),"-",
IF(AND(M280="08",N280&gt;=L_Conversion!$C$125,N280&lt;=L_Conversion!$D$125),"-",
IF(AND(M280="09",N280&gt;=L_Conversion!$C$126,N280&lt;=L_Conversion!$D$126),"-",
IF(AND(M280="10",N280&gt;=L_Conversion!$C$127,N280&lt;=L_Conversion!$D$127),"-",
IF(AND(M280="11",N280&gt;=L_Conversion!$C$128,N280&lt;=L_Conversion!$D$128),"-",
IF(AND(M280="12",N280&gt;=L_Conversion!$C$129,N280&lt;=L_Conversion!$D$129),"-",
IF(AND(M280="13",N280&gt;=L_Conversion!$C$116,N280&lt;=L_Conversion!$D$116),"-",
IF(AND(M280="14",N280&gt;=L_Conversion!$C$117,N280&lt;=L_Conversion!$D$117),"-",
"PRIMER_DIA fuera de rango")))))))))))))))</f>
        <v>-</v>
      </c>
      <c r="AS280" s="86" t="str">
        <f t="shared" si="121"/>
        <v>-</v>
      </c>
      <c r="AT280" s="86" t="str">
        <f t="shared" si="122"/>
        <v>-</v>
      </c>
      <c r="AU280" s="86" t="str">
        <f t="shared" si="123"/>
        <v>-</v>
      </c>
      <c r="AV280" s="86" t="str">
        <f t="shared" si="124"/>
        <v>-</v>
      </c>
      <c r="AW280" s="86" t="str">
        <f t="shared" si="125"/>
        <v>-</v>
      </c>
      <c r="AX280" s="86" t="str">
        <f t="shared" si="126"/>
        <v>-</v>
      </c>
      <c r="AY280" s="86" t="str">
        <f t="shared" si="127"/>
        <v>-</v>
      </c>
      <c r="AZ280" s="86" t="str">
        <f t="shared" si="128"/>
        <v>-</v>
      </c>
      <c r="BA280" s="86" t="str">
        <f t="shared" si="129"/>
        <v>-</v>
      </c>
      <c r="BB280" s="86" t="str">
        <f t="shared" si="130"/>
        <v>-</v>
      </c>
      <c r="BC280" s="86" t="str">
        <f t="shared" si="131"/>
        <v>-</v>
      </c>
      <c r="BD280" s="86" t="str">
        <f t="shared" si="132"/>
        <v>-</v>
      </c>
      <c r="BE280" s="86" t="str">
        <f t="shared" si="133"/>
        <v>-</v>
      </c>
      <c r="BF280" s="86" t="str">
        <f t="shared" si="134"/>
        <v>-</v>
      </c>
    </row>
    <row r="281" spans="1:58" x14ac:dyDescent="0.2">
      <c r="A281" s="19" t="s">
        <v>1144</v>
      </c>
      <c r="B281" s="19" t="s">
        <v>76</v>
      </c>
      <c r="C281" s="19">
        <v>16532452</v>
      </c>
      <c r="D281" s="81">
        <v>8</v>
      </c>
      <c r="E281" s="19" t="s">
        <v>1599</v>
      </c>
      <c r="F281" s="19" t="s">
        <v>1600</v>
      </c>
      <c r="G281" s="19" t="s">
        <v>1601</v>
      </c>
      <c r="H281" s="19" t="s">
        <v>1033</v>
      </c>
      <c r="I281" s="19" t="s">
        <v>662</v>
      </c>
      <c r="J281" s="19">
        <v>80</v>
      </c>
      <c r="K281" s="19" t="s">
        <v>563</v>
      </c>
      <c r="L281" s="19" t="s">
        <v>502</v>
      </c>
      <c r="M281" s="19" t="s">
        <v>16</v>
      </c>
      <c r="N281" s="19">
        <v>45730</v>
      </c>
      <c r="O281" s="19">
        <v>1</v>
      </c>
      <c r="P281" s="81">
        <v>1</v>
      </c>
      <c r="Q281" s="19" t="s">
        <v>23</v>
      </c>
      <c r="R281" s="19" t="s">
        <v>11</v>
      </c>
      <c r="S281" s="19" t="s">
        <v>23</v>
      </c>
      <c r="T281" s="19">
        <v>1</v>
      </c>
      <c r="U281" s="19" t="s">
        <v>11</v>
      </c>
      <c r="V281" s="19" t="s">
        <v>19</v>
      </c>
      <c r="W281" s="19" t="s">
        <v>19</v>
      </c>
      <c r="X281" s="19">
        <v>20665</v>
      </c>
      <c r="Y281" s="19" t="s">
        <v>735</v>
      </c>
      <c r="Z281" s="19">
        <v>1</v>
      </c>
      <c r="AA281" s="19">
        <v>20665</v>
      </c>
      <c r="AB281" s="19">
        <v>20665</v>
      </c>
      <c r="AC281" s="178" t="str">
        <f>IF(OR(M281="13",M281="14",P281=8),"",IF(AND(OR(S281="AUTORIZADO", S281="PENDIENTE", S281="REDUCIDO", S281="AMPLIADO"),L281&lt;&gt;"HONORARIO" ), CONCATENATE(IF(H281="X","H",H281),"_",IF(OR(P281=5,P281=6),_xlfn.CONCAT(P281,"A"),P281),"_",VLOOKUP(T281,Datos!$B$2:$C$5,2,TRUE)),""))</f>
        <v>M_1_[hasta 3]</v>
      </c>
      <c r="AD281" s="178">
        <f t="shared" si="108"/>
        <v>41330</v>
      </c>
      <c r="AE281" s="82" t="str">
        <f t="shared" si="109"/>
        <v>-</v>
      </c>
      <c r="AF281" s="83" t="str">
        <f t="shared" si="110"/>
        <v>070601</v>
      </c>
      <c r="AG281" s="84"/>
      <c r="AH281" s="85" t="str">
        <f t="shared" si="111"/>
        <v>Corporación de Fomento de la Producción</v>
      </c>
      <c r="AI281" s="82" t="str">
        <f t="shared" si="112"/>
        <v>-</v>
      </c>
      <c r="AJ281" s="82">
        <f t="shared" si="113"/>
        <v>8</v>
      </c>
      <c r="AK281" s="82" t="str">
        <f t="shared" si="114"/>
        <v>-</v>
      </c>
      <c r="AL281" s="82" t="str">
        <f t="shared" si="115"/>
        <v>Identifica este registro como MUJER</v>
      </c>
      <c r="AM281" s="82" t="str">
        <f t="shared" si="116"/>
        <v>-</v>
      </c>
      <c r="AN281" s="82" t="str">
        <f t="shared" si="117"/>
        <v>-</v>
      </c>
      <c r="AO281" s="82" t="str">
        <f t="shared" si="118"/>
        <v>-</v>
      </c>
      <c r="AP281" s="57" t="str">
        <f t="shared" si="119"/>
        <v>-</v>
      </c>
      <c r="AQ281" s="86" t="str">
        <f t="shared" si="120"/>
        <v>-</v>
      </c>
      <c r="AR281" s="86" t="str">
        <f>IF(N281="","PRIMER_DIA en blanco",
IF(AND(M281="01",N281&gt;=L_Conversion!$C$118,N281&lt;=L_Conversion!$D$118),"-",
IF(AND(M281="02",N281&gt;=L_Conversion!$C$119,N281&lt;=L_Conversion!$D$119),"-",
IF(AND(M281="03",N281&gt;=L_Conversion!$C$120,N281&lt;=L_Conversion!$D$120),"-",
IF(AND(M281="04",N281&gt;=L_Conversion!$C$121,N281&lt;=L_Conversion!$D$121),"-",
IF(AND(M281="05",N281&gt;=L_Conversion!$C$122,N281&lt;=L_Conversion!$D$122),"-",
IF(AND(M281="06",N281&gt;=L_Conversion!$C$123,N281&lt;=L_Conversion!$D$123),"-",
IF(AND(M281="07",N281&gt;=L_Conversion!$C$124,N281&lt;=L_Conversion!$D$124),"-",
IF(AND(M281="08",N281&gt;=L_Conversion!$C$125,N281&lt;=L_Conversion!$D$125),"-",
IF(AND(M281="09",N281&gt;=L_Conversion!$C$126,N281&lt;=L_Conversion!$D$126),"-",
IF(AND(M281="10",N281&gt;=L_Conversion!$C$127,N281&lt;=L_Conversion!$D$127),"-",
IF(AND(M281="11",N281&gt;=L_Conversion!$C$128,N281&lt;=L_Conversion!$D$128),"-",
IF(AND(M281="12",N281&gt;=L_Conversion!$C$129,N281&lt;=L_Conversion!$D$129),"-",
IF(AND(M281="13",N281&gt;=L_Conversion!$C$116,N281&lt;=L_Conversion!$D$116),"-",
IF(AND(M281="14",N281&gt;=L_Conversion!$C$117,N281&lt;=L_Conversion!$D$117),"-",
"PRIMER_DIA fuera de rango")))))))))))))))</f>
        <v>-</v>
      </c>
      <c r="AS281" s="86" t="str">
        <f t="shared" si="121"/>
        <v>-</v>
      </c>
      <c r="AT281" s="86" t="str">
        <f t="shared" si="122"/>
        <v>-</v>
      </c>
      <c r="AU281" s="86" t="str">
        <f t="shared" si="123"/>
        <v>-</v>
      </c>
      <c r="AV281" s="86" t="str">
        <f t="shared" si="124"/>
        <v>-</v>
      </c>
      <c r="AW281" s="86" t="str">
        <f t="shared" si="125"/>
        <v>-</v>
      </c>
      <c r="AX281" s="86" t="str">
        <f t="shared" si="126"/>
        <v>-</v>
      </c>
      <c r="AY281" s="86" t="str">
        <f t="shared" si="127"/>
        <v>-</v>
      </c>
      <c r="AZ281" s="86" t="str">
        <f t="shared" si="128"/>
        <v>-</v>
      </c>
      <c r="BA281" s="86" t="str">
        <f t="shared" si="129"/>
        <v>-</v>
      </c>
      <c r="BB281" s="86" t="str">
        <f t="shared" si="130"/>
        <v>-</v>
      </c>
      <c r="BC281" s="86" t="str">
        <f t="shared" si="131"/>
        <v>-</v>
      </c>
      <c r="BD281" s="86" t="str">
        <f t="shared" si="132"/>
        <v>-</v>
      </c>
      <c r="BE281" s="86" t="str">
        <f t="shared" si="133"/>
        <v>-</v>
      </c>
      <c r="BF281" s="86" t="str">
        <f t="shared" si="134"/>
        <v>-</v>
      </c>
    </row>
    <row r="282" spans="1:58" x14ac:dyDescent="0.2">
      <c r="A282" s="19" t="s">
        <v>1144</v>
      </c>
      <c r="B282" s="19" t="s">
        <v>76</v>
      </c>
      <c r="C282" s="19">
        <v>10318089</v>
      </c>
      <c r="D282" s="81">
        <v>9</v>
      </c>
      <c r="E282" s="19" t="s">
        <v>1515</v>
      </c>
      <c r="F282" s="19" t="s">
        <v>1516</v>
      </c>
      <c r="G282" s="19" t="s">
        <v>1517</v>
      </c>
      <c r="H282" s="19" t="s">
        <v>1033</v>
      </c>
      <c r="I282" s="19" t="s">
        <v>662</v>
      </c>
      <c r="J282" s="19">
        <v>80</v>
      </c>
      <c r="K282" s="19" t="s">
        <v>563</v>
      </c>
      <c r="L282" s="19" t="s">
        <v>502</v>
      </c>
      <c r="M282" s="19" t="s">
        <v>16</v>
      </c>
      <c r="N282" s="19">
        <v>45731</v>
      </c>
      <c r="O282" s="19">
        <v>15</v>
      </c>
      <c r="P282" s="81">
        <v>1</v>
      </c>
      <c r="Q282" s="19" t="s">
        <v>23</v>
      </c>
      <c r="R282" s="19" t="s">
        <v>11</v>
      </c>
      <c r="S282" s="19" t="s">
        <v>23</v>
      </c>
      <c r="T282" s="19">
        <v>15</v>
      </c>
      <c r="U282" s="19" t="s">
        <v>11</v>
      </c>
      <c r="V282" s="19" t="s">
        <v>11</v>
      </c>
      <c r="W282" s="19" t="s">
        <v>19</v>
      </c>
      <c r="X282" s="19">
        <v>1621416</v>
      </c>
      <c r="Y282" s="19" t="s">
        <v>735</v>
      </c>
      <c r="Z282" s="19">
        <v>15</v>
      </c>
      <c r="AA282" s="19">
        <v>1621416</v>
      </c>
      <c r="AB282" s="19">
        <v>1621416</v>
      </c>
      <c r="AC282" s="178" t="str">
        <f>IF(OR(M282="13",M282="14",P282=8),"",IF(AND(OR(S282="AUTORIZADO", S282="PENDIENTE", S282="REDUCIDO", S282="AMPLIADO"),L282&lt;&gt;"HONORARIO" ), CONCATENATE(IF(H282="X","H",H282),"_",IF(OR(P282=5,P282=6),_xlfn.CONCAT(P282,"A"),P282),"_",VLOOKUP(T282,Datos!$B$2:$C$5,2,TRUE)),""))</f>
        <v>M_1_[11 +]</v>
      </c>
      <c r="AD282" s="178">
        <f t="shared" si="108"/>
        <v>3242832</v>
      </c>
      <c r="AE282" s="82" t="str">
        <f t="shared" si="109"/>
        <v>-</v>
      </c>
      <c r="AF282" s="83" t="str">
        <f t="shared" si="110"/>
        <v>070601</v>
      </c>
      <c r="AG282" s="84"/>
      <c r="AH282" s="85" t="str">
        <f t="shared" si="111"/>
        <v>Corporación de Fomento de la Producción</v>
      </c>
      <c r="AI282" s="82" t="str">
        <f t="shared" si="112"/>
        <v>-</v>
      </c>
      <c r="AJ282" s="82">
        <f t="shared" si="113"/>
        <v>9</v>
      </c>
      <c r="AK282" s="82" t="str">
        <f t="shared" si="114"/>
        <v>-</v>
      </c>
      <c r="AL282" s="82" t="str">
        <f t="shared" si="115"/>
        <v>Identifica este registro como MUJER</v>
      </c>
      <c r="AM282" s="82" t="str">
        <f t="shared" si="116"/>
        <v>-</v>
      </c>
      <c r="AN282" s="82" t="str">
        <f t="shared" si="117"/>
        <v>-</v>
      </c>
      <c r="AO282" s="82" t="str">
        <f t="shared" si="118"/>
        <v>-</v>
      </c>
      <c r="AP282" s="57" t="str">
        <f t="shared" si="119"/>
        <v>-</v>
      </c>
      <c r="AQ282" s="86" t="str">
        <f t="shared" si="120"/>
        <v>-</v>
      </c>
      <c r="AR282" s="86" t="str">
        <f>IF(N282="","PRIMER_DIA en blanco",
IF(AND(M282="01",N282&gt;=L_Conversion!$C$118,N282&lt;=L_Conversion!$D$118),"-",
IF(AND(M282="02",N282&gt;=L_Conversion!$C$119,N282&lt;=L_Conversion!$D$119),"-",
IF(AND(M282="03",N282&gt;=L_Conversion!$C$120,N282&lt;=L_Conversion!$D$120),"-",
IF(AND(M282="04",N282&gt;=L_Conversion!$C$121,N282&lt;=L_Conversion!$D$121),"-",
IF(AND(M282="05",N282&gt;=L_Conversion!$C$122,N282&lt;=L_Conversion!$D$122),"-",
IF(AND(M282="06",N282&gt;=L_Conversion!$C$123,N282&lt;=L_Conversion!$D$123),"-",
IF(AND(M282="07",N282&gt;=L_Conversion!$C$124,N282&lt;=L_Conversion!$D$124),"-",
IF(AND(M282="08",N282&gt;=L_Conversion!$C$125,N282&lt;=L_Conversion!$D$125),"-",
IF(AND(M282="09",N282&gt;=L_Conversion!$C$126,N282&lt;=L_Conversion!$D$126),"-",
IF(AND(M282="10",N282&gt;=L_Conversion!$C$127,N282&lt;=L_Conversion!$D$127),"-",
IF(AND(M282="11",N282&gt;=L_Conversion!$C$128,N282&lt;=L_Conversion!$D$128),"-",
IF(AND(M282="12",N282&gt;=L_Conversion!$C$129,N282&lt;=L_Conversion!$D$129),"-",
IF(AND(M282="13",N282&gt;=L_Conversion!$C$116,N282&lt;=L_Conversion!$D$116),"-",
IF(AND(M282="14",N282&gt;=L_Conversion!$C$117,N282&lt;=L_Conversion!$D$117),"-",
"PRIMER_DIA fuera de rango")))))))))))))))</f>
        <v>-</v>
      </c>
      <c r="AS282" s="86" t="str">
        <f t="shared" si="121"/>
        <v>-</v>
      </c>
      <c r="AT282" s="86" t="str">
        <f t="shared" si="122"/>
        <v>-</v>
      </c>
      <c r="AU282" s="86" t="str">
        <f t="shared" si="123"/>
        <v>-</v>
      </c>
      <c r="AV282" s="86" t="str">
        <f t="shared" si="124"/>
        <v>-</v>
      </c>
      <c r="AW282" s="86" t="str">
        <f t="shared" si="125"/>
        <v>-</v>
      </c>
      <c r="AX282" s="86" t="str">
        <f t="shared" si="126"/>
        <v>-</v>
      </c>
      <c r="AY282" s="86" t="str">
        <f t="shared" si="127"/>
        <v>-</v>
      </c>
      <c r="AZ282" s="86" t="str">
        <f t="shared" si="128"/>
        <v>-</v>
      </c>
      <c r="BA282" s="86" t="str">
        <f t="shared" si="129"/>
        <v>-</v>
      </c>
      <c r="BB282" s="86" t="str">
        <f t="shared" si="130"/>
        <v>-</v>
      </c>
      <c r="BC282" s="86" t="str">
        <f t="shared" si="131"/>
        <v>-</v>
      </c>
      <c r="BD282" s="86" t="str">
        <f t="shared" si="132"/>
        <v>-</v>
      </c>
      <c r="BE282" s="86" t="str">
        <f t="shared" si="133"/>
        <v>-</v>
      </c>
      <c r="BF282" s="86" t="str">
        <f t="shared" si="134"/>
        <v>-</v>
      </c>
    </row>
    <row r="283" spans="1:58" x14ac:dyDescent="0.2">
      <c r="A283" s="19" t="s">
        <v>1144</v>
      </c>
      <c r="B283" s="19" t="s">
        <v>76</v>
      </c>
      <c r="C283" s="19">
        <v>10464332</v>
      </c>
      <c r="D283" s="81">
        <v>9</v>
      </c>
      <c r="E283" s="19" t="s">
        <v>1309</v>
      </c>
      <c r="F283" s="19" t="s">
        <v>1310</v>
      </c>
      <c r="G283" s="19" t="s">
        <v>1311</v>
      </c>
      <c r="H283" s="19" t="s">
        <v>663</v>
      </c>
      <c r="I283" s="19" t="s">
        <v>663</v>
      </c>
      <c r="J283" s="19">
        <v>80</v>
      </c>
      <c r="K283" s="19" t="s">
        <v>567</v>
      </c>
      <c r="L283" s="19" t="s">
        <v>519</v>
      </c>
      <c r="M283" s="19" t="s">
        <v>16</v>
      </c>
      <c r="N283" s="19">
        <v>45731</v>
      </c>
      <c r="O283" s="19">
        <v>30</v>
      </c>
      <c r="P283" s="81">
        <v>1</v>
      </c>
      <c r="Q283" s="19" t="s">
        <v>23</v>
      </c>
      <c r="R283" s="19" t="s">
        <v>11</v>
      </c>
      <c r="S283" s="19" t="s">
        <v>23</v>
      </c>
      <c r="T283" s="19">
        <v>30</v>
      </c>
      <c r="U283" s="19" t="s">
        <v>11</v>
      </c>
      <c r="V283" s="19" t="s">
        <v>11</v>
      </c>
      <c r="W283" s="19" t="s">
        <v>19</v>
      </c>
      <c r="X283" s="19">
        <v>1593</v>
      </c>
      <c r="Y283" s="19" t="s">
        <v>735</v>
      </c>
      <c r="Z283" s="19">
        <v>30</v>
      </c>
      <c r="AA283" s="19">
        <v>1593</v>
      </c>
      <c r="AB283" s="19">
        <v>1593</v>
      </c>
      <c r="AC283" s="178" t="str">
        <f>IF(OR(M283="13",M283="14",P283=8),"",IF(AND(OR(S283="AUTORIZADO", S283="PENDIENTE", S283="REDUCIDO", S283="AMPLIADO"),L283&lt;&gt;"HONORARIO" ), CONCATENATE(IF(H283="X","H",H283),"_",IF(OR(P283=5,P283=6),_xlfn.CONCAT(P283,"A"),P283),"_",VLOOKUP(T283,Datos!$B$2:$C$5,2,TRUE)),""))</f>
        <v>H_1_[11 +]</v>
      </c>
      <c r="AD283" s="178">
        <f t="shared" si="108"/>
        <v>3186</v>
      </c>
      <c r="AE283" s="82" t="str">
        <f t="shared" si="109"/>
        <v>-</v>
      </c>
      <c r="AF283" s="83" t="str">
        <f t="shared" si="110"/>
        <v>070601</v>
      </c>
      <c r="AG283" s="84"/>
      <c r="AH283" s="85" t="str">
        <f t="shared" si="111"/>
        <v>Corporación de Fomento de la Producción</v>
      </c>
      <c r="AI283" s="82" t="str">
        <f t="shared" si="112"/>
        <v>-</v>
      </c>
      <c r="AJ283" s="82">
        <f t="shared" si="113"/>
        <v>9</v>
      </c>
      <c r="AK283" s="82" t="str">
        <f t="shared" si="114"/>
        <v>-</v>
      </c>
      <c r="AL283" s="82" t="str">
        <f t="shared" si="115"/>
        <v>Identifica este registro como HOMBRE</v>
      </c>
      <c r="AM283" s="82" t="str">
        <f t="shared" si="116"/>
        <v>-</v>
      </c>
      <c r="AN283" s="82" t="str">
        <f t="shared" si="117"/>
        <v>-</v>
      </c>
      <c r="AO283" s="82" t="str">
        <f t="shared" si="118"/>
        <v>-</v>
      </c>
      <c r="AP283" s="57" t="str">
        <f t="shared" si="119"/>
        <v>-</v>
      </c>
      <c r="AQ283" s="86" t="str">
        <f t="shared" si="120"/>
        <v>-</v>
      </c>
      <c r="AR283" s="86" t="str">
        <f>IF(N283="","PRIMER_DIA en blanco",
IF(AND(M283="01",N283&gt;=L_Conversion!$C$118,N283&lt;=L_Conversion!$D$118),"-",
IF(AND(M283="02",N283&gt;=L_Conversion!$C$119,N283&lt;=L_Conversion!$D$119),"-",
IF(AND(M283="03",N283&gt;=L_Conversion!$C$120,N283&lt;=L_Conversion!$D$120),"-",
IF(AND(M283="04",N283&gt;=L_Conversion!$C$121,N283&lt;=L_Conversion!$D$121),"-",
IF(AND(M283="05",N283&gt;=L_Conversion!$C$122,N283&lt;=L_Conversion!$D$122),"-",
IF(AND(M283="06",N283&gt;=L_Conversion!$C$123,N283&lt;=L_Conversion!$D$123),"-",
IF(AND(M283="07",N283&gt;=L_Conversion!$C$124,N283&lt;=L_Conversion!$D$124),"-",
IF(AND(M283="08",N283&gt;=L_Conversion!$C$125,N283&lt;=L_Conversion!$D$125),"-",
IF(AND(M283="09",N283&gt;=L_Conversion!$C$126,N283&lt;=L_Conversion!$D$126),"-",
IF(AND(M283="10",N283&gt;=L_Conversion!$C$127,N283&lt;=L_Conversion!$D$127),"-",
IF(AND(M283="11",N283&gt;=L_Conversion!$C$128,N283&lt;=L_Conversion!$D$128),"-",
IF(AND(M283="12",N283&gt;=L_Conversion!$C$129,N283&lt;=L_Conversion!$D$129),"-",
IF(AND(M283="13",N283&gt;=L_Conversion!$C$116,N283&lt;=L_Conversion!$D$116),"-",
IF(AND(M283="14",N283&gt;=L_Conversion!$C$117,N283&lt;=L_Conversion!$D$117),"-",
"PRIMER_DIA fuera de rango")))))))))))))))</f>
        <v>-</v>
      </c>
      <c r="AS283" s="86" t="str">
        <f t="shared" si="121"/>
        <v>-</v>
      </c>
      <c r="AT283" s="86" t="str">
        <f t="shared" si="122"/>
        <v>-</v>
      </c>
      <c r="AU283" s="86" t="str">
        <f t="shared" si="123"/>
        <v>-</v>
      </c>
      <c r="AV283" s="86" t="str">
        <f t="shared" si="124"/>
        <v>-</v>
      </c>
      <c r="AW283" s="86" t="str">
        <f t="shared" si="125"/>
        <v>-</v>
      </c>
      <c r="AX283" s="86" t="str">
        <f t="shared" si="126"/>
        <v>-</v>
      </c>
      <c r="AY283" s="86" t="str">
        <f t="shared" si="127"/>
        <v>-</v>
      </c>
      <c r="AZ283" s="86" t="str">
        <f t="shared" si="128"/>
        <v>-</v>
      </c>
      <c r="BA283" s="86" t="str">
        <f t="shared" si="129"/>
        <v>-</v>
      </c>
      <c r="BB283" s="86" t="str">
        <f t="shared" si="130"/>
        <v>-</v>
      </c>
      <c r="BC283" s="86" t="str">
        <f t="shared" si="131"/>
        <v>-</v>
      </c>
      <c r="BD283" s="86" t="str">
        <f t="shared" si="132"/>
        <v>-</v>
      </c>
      <c r="BE283" s="86" t="str">
        <f t="shared" si="133"/>
        <v>-</v>
      </c>
      <c r="BF283" s="86" t="str">
        <f t="shared" si="134"/>
        <v>-</v>
      </c>
    </row>
    <row r="284" spans="1:58" x14ac:dyDescent="0.2">
      <c r="A284" s="19" t="s">
        <v>1144</v>
      </c>
      <c r="B284" s="19" t="s">
        <v>76</v>
      </c>
      <c r="C284" s="19">
        <v>15664863</v>
      </c>
      <c r="D284" s="81">
        <v>9</v>
      </c>
      <c r="E284" s="19" t="s">
        <v>1323</v>
      </c>
      <c r="F284" s="19" t="s">
        <v>1162</v>
      </c>
      <c r="G284" s="19" t="s">
        <v>1324</v>
      </c>
      <c r="H284" s="19" t="s">
        <v>1033</v>
      </c>
      <c r="I284" s="19" t="s">
        <v>663</v>
      </c>
      <c r="J284" s="19">
        <v>80</v>
      </c>
      <c r="K284" s="19" t="s">
        <v>563</v>
      </c>
      <c r="L284" s="19" t="s">
        <v>516</v>
      </c>
      <c r="M284" s="19" t="s">
        <v>16</v>
      </c>
      <c r="N284" s="19">
        <v>45732</v>
      </c>
      <c r="O284" s="19">
        <v>30</v>
      </c>
      <c r="P284" s="81">
        <v>4</v>
      </c>
      <c r="Q284" s="19" t="s">
        <v>23</v>
      </c>
      <c r="R284" s="19" t="s">
        <v>11</v>
      </c>
      <c r="S284" s="19" t="s">
        <v>23</v>
      </c>
      <c r="T284" s="19">
        <v>30</v>
      </c>
      <c r="U284" s="19" t="s">
        <v>11</v>
      </c>
      <c r="V284" s="19" t="s">
        <v>11</v>
      </c>
      <c r="W284" s="19" t="s">
        <v>19</v>
      </c>
      <c r="X284" s="19">
        <v>2021280</v>
      </c>
      <c r="Y284" s="19" t="s">
        <v>735</v>
      </c>
      <c r="Z284" s="19">
        <v>30</v>
      </c>
      <c r="AA284" s="19">
        <v>2021280</v>
      </c>
      <c r="AB284" s="19">
        <v>2021280</v>
      </c>
      <c r="AC284" s="178" t="str">
        <f>IF(OR(M284="13",M284="14",P284=8),"",IF(AND(OR(S284="AUTORIZADO", S284="PENDIENTE", S284="REDUCIDO", S284="AMPLIADO"),L284&lt;&gt;"HONORARIO" ), CONCATENATE(IF(H284="X","H",H284),"_",IF(OR(P284=5,P284=6),_xlfn.CONCAT(P284,"A"),P284),"_",VLOOKUP(T284,Datos!$B$2:$C$5,2,TRUE)),""))</f>
        <v>M_4_[11 +]</v>
      </c>
      <c r="AD284" s="178">
        <f t="shared" si="108"/>
        <v>4042560</v>
      </c>
      <c r="AE284" s="82" t="str">
        <f t="shared" si="109"/>
        <v>-</v>
      </c>
      <c r="AF284" s="83" t="str">
        <f t="shared" si="110"/>
        <v>070601</v>
      </c>
      <c r="AG284" s="84"/>
      <c r="AH284" s="85" t="str">
        <f t="shared" si="111"/>
        <v>Corporación de Fomento de la Producción</v>
      </c>
      <c r="AI284" s="82" t="str">
        <f t="shared" si="112"/>
        <v>-</v>
      </c>
      <c r="AJ284" s="82">
        <f t="shared" si="113"/>
        <v>9</v>
      </c>
      <c r="AK284" s="82" t="str">
        <f t="shared" si="114"/>
        <v>-</v>
      </c>
      <c r="AL284" s="82" t="str">
        <f t="shared" si="115"/>
        <v>Identifica este registro como MUJER</v>
      </c>
      <c r="AM284" s="82" t="str">
        <f t="shared" si="116"/>
        <v>-</v>
      </c>
      <c r="AN284" s="82" t="str">
        <f t="shared" si="117"/>
        <v>-</v>
      </c>
      <c r="AO284" s="82" t="str">
        <f t="shared" si="118"/>
        <v>-</v>
      </c>
      <c r="AP284" s="57" t="str">
        <f t="shared" si="119"/>
        <v>-</v>
      </c>
      <c r="AQ284" s="86" t="str">
        <f t="shared" si="120"/>
        <v>-</v>
      </c>
      <c r="AR284" s="86" t="str">
        <f>IF(N284="","PRIMER_DIA en blanco",
IF(AND(M284="01",N284&gt;=L_Conversion!$C$118,N284&lt;=L_Conversion!$D$118),"-",
IF(AND(M284="02",N284&gt;=L_Conversion!$C$119,N284&lt;=L_Conversion!$D$119),"-",
IF(AND(M284="03",N284&gt;=L_Conversion!$C$120,N284&lt;=L_Conversion!$D$120),"-",
IF(AND(M284="04",N284&gt;=L_Conversion!$C$121,N284&lt;=L_Conversion!$D$121),"-",
IF(AND(M284="05",N284&gt;=L_Conversion!$C$122,N284&lt;=L_Conversion!$D$122),"-",
IF(AND(M284="06",N284&gt;=L_Conversion!$C$123,N284&lt;=L_Conversion!$D$123),"-",
IF(AND(M284="07",N284&gt;=L_Conversion!$C$124,N284&lt;=L_Conversion!$D$124),"-",
IF(AND(M284="08",N284&gt;=L_Conversion!$C$125,N284&lt;=L_Conversion!$D$125),"-",
IF(AND(M284="09",N284&gt;=L_Conversion!$C$126,N284&lt;=L_Conversion!$D$126),"-",
IF(AND(M284="10",N284&gt;=L_Conversion!$C$127,N284&lt;=L_Conversion!$D$127),"-",
IF(AND(M284="11",N284&gt;=L_Conversion!$C$128,N284&lt;=L_Conversion!$D$128),"-",
IF(AND(M284="12",N284&gt;=L_Conversion!$C$129,N284&lt;=L_Conversion!$D$129),"-",
IF(AND(M284="13",N284&gt;=L_Conversion!$C$116,N284&lt;=L_Conversion!$D$116),"-",
IF(AND(M284="14",N284&gt;=L_Conversion!$C$117,N284&lt;=L_Conversion!$D$117),"-",
"PRIMER_DIA fuera de rango")))))))))))))))</f>
        <v>-</v>
      </c>
      <c r="AS284" s="86" t="str">
        <f t="shared" si="121"/>
        <v>-</v>
      </c>
      <c r="AT284" s="86" t="str">
        <f t="shared" si="122"/>
        <v>-</v>
      </c>
      <c r="AU284" s="86" t="str">
        <f t="shared" si="123"/>
        <v>-</v>
      </c>
      <c r="AV284" s="86" t="str">
        <f t="shared" si="124"/>
        <v>-</v>
      </c>
      <c r="AW284" s="86" t="str">
        <f t="shared" si="125"/>
        <v>-</v>
      </c>
      <c r="AX284" s="86" t="str">
        <f t="shared" si="126"/>
        <v>-</v>
      </c>
      <c r="AY284" s="86" t="str">
        <f t="shared" si="127"/>
        <v>-</v>
      </c>
      <c r="AZ284" s="86" t="str">
        <f t="shared" si="128"/>
        <v>-</v>
      </c>
      <c r="BA284" s="86" t="str">
        <f t="shared" si="129"/>
        <v>-</v>
      </c>
      <c r="BB284" s="86" t="str">
        <f t="shared" si="130"/>
        <v>-</v>
      </c>
      <c r="BC284" s="86" t="str">
        <f t="shared" si="131"/>
        <v>-</v>
      </c>
      <c r="BD284" s="86" t="str">
        <f t="shared" si="132"/>
        <v>-</v>
      </c>
      <c r="BE284" s="86" t="str">
        <f t="shared" si="133"/>
        <v>-</v>
      </c>
      <c r="BF284" s="86" t="str">
        <f t="shared" si="134"/>
        <v>-</v>
      </c>
    </row>
    <row r="285" spans="1:58" x14ac:dyDescent="0.2">
      <c r="A285" s="19" t="s">
        <v>1144</v>
      </c>
      <c r="B285" s="19" t="s">
        <v>76</v>
      </c>
      <c r="C285" s="19">
        <v>12431825</v>
      </c>
      <c r="D285" s="81">
        <v>4</v>
      </c>
      <c r="E285" s="19" t="s">
        <v>1215</v>
      </c>
      <c r="F285" s="19" t="s">
        <v>1602</v>
      </c>
      <c r="G285" s="19" t="s">
        <v>1603</v>
      </c>
      <c r="H285" s="19" t="s">
        <v>1033</v>
      </c>
      <c r="I285" s="19" t="s">
        <v>662</v>
      </c>
      <c r="J285" s="19">
        <v>80</v>
      </c>
      <c r="K285" s="19" t="s">
        <v>567</v>
      </c>
      <c r="L285" s="19" t="s">
        <v>502</v>
      </c>
      <c r="M285" s="19" t="s">
        <v>16</v>
      </c>
      <c r="N285" s="19">
        <v>45733</v>
      </c>
      <c r="O285" s="19">
        <v>3</v>
      </c>
      <c r="P285" s="81">
        <v>1</v>
      </c>
      <c r="Q285" s="19" t="s">
        <v>23</v>
      </c>
      <c r="R285" s="19" t="s">
        <v>11</v>
      </c>
      <c r="S285" s="19" t="s">
        <v>23</v>
      </c>
      <c r="T285" s="19">
        <v>3</v>
      </c>
      <c r="U285" s="19" t="s">
        <v>11</v>
      </c>
      <c r="V285" s="19" t="s">
        <v>19</v>
      </c>
      <c r="W285" s="19" t="s">
        <v>19</v>
      </c>
      <c r="X285" s="19">
        <v>29204</v>
      </c>
      <c r="Y285" s="19" t="s">
        <v>735</v>
      </c>
      <c r="Z285" s="19">
        <v>3</v>
      </c>
      <c r="AA285" s="19">
        <v>29204</v>
      </c>
      <c r="AB285" s="19">
        <v>29204</v>
      </c>
      <c r="AC285" s="178" t="str">
        <f>IF(OR(M285="13",M285="14",P285=8),"",IF(AND(OR(S285="AUTORIZADO", S285="PENDIENTE", S285="REDUCIDO", S285="AMPLIADO"),L285&lt;&gt;"HONORARIO" ), CONCATENATE(IF(H285="X","H",H285),"_",IF(OR(P285=5,P285=6),_xlfn.CONCAT(P285,"A"),P285),"_",VLOOKUP(T285,Datos!$B$2:$C$5,2,TRUE)),""))</f>
        <v>M_1_[hasta 3]</v>
      </c>
      <c r="AD285" s="178">
        <f t="shared" ref="AD285:AD348" si="135">IF(AC285="",0,AA285+AB285)</f>
        <v>58408</v>
      </c>
      <c r="AE285" s="82" t="str">
        <f t="shared" ref="AE285:AE348" si="136">IF(A285="","Celda vacía",IF(A285="L","-","Revisar"))</f>
        <v>-</v>
      </c>
      <c r="AF285" s="83" t="str">
        <f t="shared" ref="AF285:AF348" si="137">IF(B285="","Celda vacía",IF(LEN(B285)=4,REPLACE(B285,1,6,CONCATENATE("00",B285)),IF(LEN(B285)=5,REPLACE(B285,1,6,CONCATENATE("0",B285)),IF(LEN(B285)=6,REPLACE(B285,1,6,B285),IF(AND(LEN(B285)&gt;6,OR(LEFT(B285,4)="1202", LEFT(B285,4)="1703")),REPLACE(B285,1,LEN(B285),B285),"Revisar")))))</f>
        <v>070601</v>
      </c>
      <c r="AG285" s="84"/>
      <c r="AH285" s="85" t="str">
        <f t="shared" ref="AH285:AH348" si="138">IF(B285="","Celda Vacía",IF(ISERROR(IF(B285="","",VLOOKUP(B285,Codigo,3,0))),"Corregir código servicio",IF(B285="","",VLOOKUP(B285,Codigo,3,0))))</f>
        <v>Corporación de Fomento de la Producción</v>
      </c>
      <c r="AI285" s="82" t="str">
        <f t="shared" ref="AI285:AI348" si="139">IF(C285="","Celda vacía",IF(C285&gt;1000000,"-","Revisar con Edad"))</f>
        <v>-</v>
      </c>
      <c r="AJ285" s="82">
        <f t="shared" ref="AJ285:AJ348" si="140">IF(D285="","Celda vacía",IF(IF(IF(LEN(C285)=6,(11-((RIGHT(C285,1)*2+MID(C285,5,1)*3+MID(C285,4,1)*4+MID(C285,3,1)*5+MID(C285,2,1)*6+LEFT(C285,1)*7)-(INT((RIGHT(C285,1)*2+MID(C285,5,1)*3+MID(C285,4,1)*4+MID(C285,3,1)*5+MID(C285,2,1)*6+LEFT(C285,1)*7)/11)*11))),IF(LEN(C285)=7,(11-((RIGHT(C285,1)*2+MID(C285,6,1)*3+MID(C285,5,1)*4+MID(C285,4,1)*5+MID(C285,3,1)*6+MID(C285,2,1)*7+LEFT(C285,1)*2)-(INT((RIGHT(C285,1)*2+MID(C285,6,1)*3+MID(C285,5,1)*4+MID(C285,4,1)*5+MID(C285,3,1)*6+MID(C285,2,1)*7+LEFT(C285,1)*2)/11)*11))),(11-((RIGHT(C285,1)*2+MID(C285,7,1)*3+MID(C285,6,1)*4+MID(C285,5,1)*5+MID(C285,4,1)*6+MID(C285,3,1)*7+MID(C285,2,1)*2+LEFT(C285,1)*3)-(INT((RIGHT(C285,1)*2+MID(C285,7,1)*3+MID(C285,6,1)*4+MID(C285,5,1)*5+MID(C285,4,1)*6+MID(C285,3,1)*7+MID(C285,2,1)*2+LEFT(C285,1)*3)/11)*11)))))=11,0,IF(LEN(C285)=6,(11-((RIGHT(C285,1)*2+MID(C285,5,1)*3+MID(C285,4,1)*4+MID(C285,3,1)*5+MID(C285,2,1)*6+LEFT(C285,1)*7)-(INT((RIGHT(C285,1)*2+MID(C285,5,1)*3+MID(C285,4,1)*4+MID(C285,3,1)*5+MID(C285,2,1)*6+LEFT(C285,1)*7)/11)*11))),IF(LEN(C285)=7,(11-((RIGHT(C285,1)*2+MID(C285,6,1)*3+MID(C285,5,1)*4+MID(C285,4,1)*5+MID(C285,3,1)*6+MID(C285,2,1)*7+LEFT(C285,1)*2)-(INT((RIGHT(C285,1)*2+MID(C285,6,1)*3+MID(C285,5,1)*4+MID(C285,4,1)*5+MID(C285,3,1)*6+MID(C285,2,1)*7+LEFT(C285,1)*2)/11)*11))),(11-((RIGHT(C285,1)*2+MID(C285,7,1)*3+MID(C285,6,1)*4+MID(C285,5,1)*5+MID(C285,4,1)*6+MID(C285,3,1)*7+MID(C285,2,1)*2+LEFT(C285,1)*3)-(INT((RIGHT(C285,1)*2+MID(C285,7,1)*3+MID(C285,6,1)*4+MID(C285,5,1)*5+MID(C285,4,1)*6+MID(C285,3,1)*7+MID(C285,2,1)*2+LEFT(C285,1)*3)/11)*11))))))=10,"K",IF(IF(LEN(C285)=6,(11-((RIGHT(C285,1)*2+MID(C285,5,1)*3+MID(C285,4,1)*4+MID(C285,3,1)*5+MID(C285,2,1)*6+LEFT(C285,1)*7)-(INT((RIGHT(C285,1)*2+MID(C285,5,1)*3+MID(C285,4,1)*4+MID(C285,3,1)*5+MID(C285,2,1)*6+LEFT(C285,1)*7)/11)*11))),IF(LEN(C285)=7,(11-((RIGHT(C285,1)*2+MID(C285,6,1)*3+MID(C285,5,1)*4+MID(C285,4,1)*5+MID(C285,3,1)*6+MID(C285,2,1)*7+LEFT(C285,1)*2)-(INT((RIGHT(C285,1)*2+MID(C285,6,1)*3+MID(C285,5,1)*4+MID(C285,4,1)*5+MID(C285,3,1)*6+MID(C285,2,1)*7+LEFT(C285,1)*2)/11)*11))),(11-((RIGHT(C285,1)*2+MID(C285,7,1)*3+MID(C285,6,1)*4+MID(C285,5,1)*5+MID(C285,4,1)*6+MID(C285,3,1)*7+MID(C285,2,1)*2+LEFT(C285,1)*3)-(INT((RIGHT(C285,1)*2+MID(C285,7,1)*3+MID(C285,6,1)*4+MID(C285,5,1)*5+MID(C285,4,1)*6+MID(C285,3,1)*7+MID(C285,2,1)*2+LEFT(C285,1)*3)/11)*11)))))=11,0,IF(LEN(C285)=6,(11-((RIGHT(C285,1)*2+MID(C285,5,1)*3+MID(C285,4,1)*4+MID(C285,3,1)*5+MID(C285,2,1)*6+LEFT(C285,1)*7)-(INT((RIGHT(C285,1)*2+MID(C285,5,1)*3+MID(C285,4,1)*4+MID(C285,3,1)*5+MID(C285,2,1)*6+LEFT(C285,1)*7)/11)*11))),IF(LEN(C285)=7,(11-((RIGHT(C285,1)*2+MID(C285,6,1)*3+MID(C285,5,1)*4+MID(C285,4,1)*5+MID(C285,3,1)*6+MID(C285,2,1)*7+LEFT(C285,1)*2)-(INT((RIGHT(C285,1)*2+MID(C285,6,1)*3+MID(C285,5,1)*4+MID(C285,4,1)*5+MID(C285,3,1)*6+MID(C285,2,1)*7+LEFT(C285,1)*2)/11)*11))),(11-((RIGHT(C285,1)*2+MID(C285,7,1)*3+MID(C285,6,1)*4+MID(C285,5,1)*5+MID(C285,4,1)*6+MID(C285,3,1)*7+MID(C285,2,1)*2+LEFT(C285,1)*3)-(INT((RIGHT(C285,1)*2+MID(C285,7,1)*3+MID(C285,6,1)*4+MID(C285,5,1)*5+MID(C285,4,1)*6+MID(C285,3,1)*7+MID(C285,2,1)*2+LEFT(C285,1)*3)/11)*11))))))))</f>
        <v>4</v>
      </c>
      <c r="AK285" s="82" t="str">
        <f t="shared" ref="AK285:AK348" si="141">IF(C285="","Celda vacía",IF(C285="E","-",IF(IF(AJ285=11,0,IF(AJ285=10,"K",AJ285))=D285,"-","Corregir RUN")))</f>
        <v>-</v>
      </c>
      <c r="AL285" s="82" t="str">
        <f t="shared" ref="AL285:AL348" si="142">IF(H285="","Celda vacía",IF(OR(H285="M",H285="H",H285="X"),  IF(H285="M", "Identifica este registro como MUJER",  IF(H285="H","Identifica este registro como HOMBRE", IF(H285="X","Identifica este registro como NO BINARIO"))),  "Validar con Tabla N°01")   )</f>
        <v>Identifica este registro como MUJER</v>
      </c>
      <c r="AM285" s="82" t="str">
        <f t="shared" ref="AM285:AM348" si="143">IF(I285="","Celda vacía",IF(ISERROR(VLOOKUP(I285,Tabla_27_Matriz_Base,1,0)),"Revisar","-"))</f>
        <v>-</v>
      </c>
      <c r="AN285" s="82" t="str">
        <f t="shared" ref="AN285:AN348" si="144">IF(J285="","Celda vacía",IF(ISERROR(VLOOKUP(J285,Tabla_04_Sist.Rem,1,0)),"Revisar","-"))</f>
        <v>-</v>
      </c>
      <c r="AO285" s="82" t="str">
        <f t="shared" ref="AO285:AO348" si="145">IF(J285="","SIST_REM vacío, no permite validar estamento",IF(OR(J285=10,J285=40,J285=60,J285=70),IF(ISERROR(VLOOKUP(K285,Tabla_06_10_40_60_70_EUS,1,0)),"Revisar. Estamento no corresponde a sist. Rem.","-"),
IF(AND(A285="l",J285=11,K285="DIRECTIVO"),"Dual",
IF(OR(J285=11,J285=12),IF(ISERROR(VLOOKUP(K285,Tabla_06_11_12_15076_19664,1,0)),"Revisar. Estamento no corresponde a sist. Rem.","-"),
IF(J285=13,IF(ISERROR(VLOOKUP(K285,Tabla_06_13,1,0)),"Revisar. Estamento no corresponde a sist. Rem.","-"),
IF(J285=14,IF(ISERROR(VLOOKUP(K285,Tabla_06_14,1,0)),"Revisar. Estamento no corresponde a sist. Rem.","-"),
IF(J285=15,IF(ISERROR(VLOOKUP(K285,Tabla_06_15,1,0)),"Revisar. Estamento no corresponde a sist. Rem.","-"),
IF(OR(J285=90),IF(ISERROR(VLOOKUP(K285,Tabla_06_90_Personal_Fuera_de_Dotacion,1,0)),"Revisar. Estamento no corresponde a sist. Rem.","-"),
IF(J285=61,IF(ISERROR(VLOOKUP(K285,Tabla_06_DFL29_61_Experimentales,1,0)),"Revisar. Estamento no corresponde a sist. Rem.","-"),IF(J285=20,IF(ISERROR(VLOOKUP(K285,Tabla_06_20_Fiscalizadores,1,0)),"Revisar. Estamento no corresponde a sist. Rem.","-"),IF(J285=80,IF(ISERROR(VLOOKUP(K285,Tabla_06_80_Codigo_del_Trabajo,1,0)),"Revisar. Estamento no corresponde a sist. Rem.","-"),                    IF(J285=30,IF(ISERROR(VLOOKUP(K285,Tabla_06_30_Poder_Judicial,1,0)),"Revisar. Estamento no corresponde a sist. Rem.","-"),IF(ISERROR(VLOOKUP(K285,Tabla_06_50_Ministerio_Publico,1,0)),"Revisar","-")))))))))))))</f>
        <v>-</v>
      </c>
      <c r="AP285" s="57" t="str">
        <f t="shared" ref="AP285:AP348" si="146">IF(L285="","Celda vacía",IF(ISERROR(VLOOKUP(L285,Tabla_Personal,1,0)),"Revisar","-"))</f>
        <v>-</v>
      </c>
      <c r="AQ285" s="86" t="str">
        <f t="shared" ref="AQ285:AQ348" si="147">IF(M285="","Celda vacía",IF(ISERROR(VLOOKUP(M285,Tabla_01_Mes,1,0)),"Revisar","-"))</f>
        <v>-</v>
      </c>
      <c r="AR285" s="86" t="str">
        <f>IF(N285="","PRIMER_DIA en blanco",
IF(AND(M285="01",N285&gt;=L_Conversion!$C$118,N285&lt;=L_Conversion!$D$118),"-",
IF(AND(M285="02",N285&gt;=L_Conversion!$C$119,N285&lt;=L_Conversion!$D$119),"-",
IF(AND(M285="03",N285&gt;=L_Conversion!$C$120,N285&lt;=L_Conversion!$D$120),"-",
IF(AND(M285="04",N285&gt;=L_Conversion!$C$121,N285&lt;=L_Conversion!$D$121),"-",
IF(AND(M285="05",N285&gt;=L_Conversion!$C$122,N285&lt;=L_Conversion!$D$122),"-",
IF(AND(M285="06",N285&gt;=L_Conversion!$C$123,N285&lt;=L_Conversion!$D$123),"-",
IF(AND(M285="07",N285&gt;=L_Conversion!$C$124,N285&lt;=L_Conversion!$D$124),"-",
IF(AND(M285="08",N285&gt;=L_Conversion!$C$125,N285&lt;=L_Conversion!$D$125),"-",
IF(AND(M285="09",N285&gt;=L_Conversion!$C$126,N285&lt;=L_Conversion!$D$126),"-",
IF(AND(M285="10",N285&gt;=L_Conversion!$C$127,N285&lt;=L_Conversion!$D$127),"-",
IF(AND(M285="11",N285&gt;=L_Conversion!$C$128,N285&lt;=L_Conversion!$D$128),"-",
IF(AND(M285="12",N285&gt;=L_Conversion!$C$129,N285&lt;=L_Conversion!$D$129),"-",
IF(AND(M285="13",N285&gt;=L_Conversion!$C$116,N285&lt;=L_Conversion!$D$116),"-",
IF(AND(M285="14",N285&gt;=L_Conversion!$C$117,N285&lt;=L_Conversion!$D$117),"-",
"PRIMER_DIA fuera de rango")))))))))))))))</f>
        <v>-</v>
      </c>
      <c r="AS285" s="86" t="str">
        <f t="shared" ref="AS285:AS348" si="148">IF(O285="","Celda vacía",IF(AND(ISERROR(VLOOKUP(P285,Tabla_18_Tipos_licencias,1,FALSE))=FALSE,O285&gt;=0,O285&lt;=365),IF(P285=8,IF(H285="M",IF(ISERROR(VLOOKUP(O285,Dias_Licencia_Tipo_8_M,1,0)),"Revisar días licencia tipo 8","-"),IF(ISERROR(VLOOKUP(O285,Dias_licencia_tipo_8_H,1,0)),"Revisar días licencia tipo 8","-")),"-"),"Se debe revisar los campos TIPO_LM y N_DIAS"))</f>
        <v>-</v>
      </c>
      <c r="AT285" s="86" t="str">
        <f t="shared" ref="AT285:AT348" si="149">IF(P285="","Celda vacía",IF(ISERROR(VLOOKUP(P285,Tabla_18_Tipos_licencias,1,FALSE))=FALSE,IF(H285="M","-",IF(P285=7,"Revisar","-")),"Revisar"))</f>
        <v>-</v>
      </c>
      <c r="AU285" s="86" t="str">
        <f t="shared" ref="AU285:AU348" si="150">IF(Q285="","Celda vacía",IF(AND(OR(L285="HAG",L285="HONORARIO"),OR(Q285="AUTORIZADO",Q285="REDUCIDO",Q285="RECHAZADO",Q285="PENDIENTE",Q285="AMPLIADO")),"Revisar Calidad Jurídica",IF(AND(OR(L285="HAG",L285="HONORARIO"),Q285="NC"),"-",IF(ISERROR(VLOOKUP(Q285,Tabla_04_Estado_Resolucion,1,0)),"Revisar",IF(AND(Q285="PENDIENTE",($BG$1-N285)&gt;60),"Validar estado PENDIENTE",  IF(AND(OR(L285="CONTRATA",L285="PLANTA", L285="CT", L285="JP", L285="JORNAL", L285="CONTRATA_FD", L285="CT_FD", L285="ADSCRITO", L285="LGN", L285="VIGILANTE", L285="BECARIOS", L285="PLANTA_FD"),Q285&lt;&gt;"NC"),"-","Revisar Calidad Jurídica"))))))</f>
        <v>-</v>
      </c>
      <c r="AV285" s="86" t="str">
        <f t="shared" ref="AV285:AV348" si="151">IF(R285="","Celda vacía",IF(AND(OR(Q285="AUTORIZADO",Q285="PENDIENTE",Q285="NC",Q285="AMPLIADO"),R285="N"),"-",IF(AND(OR(Q285="REDUCIDO",Q285="RECHAZADO"),OR(R285="S",R285="N")),"-","Revisar")))</f>
        <v>-</v>
      </c>
      <c r="AW285" s="86" t="str">
        <f t="shared" ref="AW285:AW348" si="152">IF(Q285="","Celda vacía",IF(AND(R285="N",Q285=S285),"-",IF(AND(S285="PENDIENTE",($BG$1-N285)&gt;60),"Validar estado PENDIENTE",IF(AND(R285="S",OR(S285="AUTORIZADO",S285="PENDIENTE"),T285=O285),"-",IF(AND(R285="S",S285="REDUCIDO",T285&lt;O285,T285&gt;0),"-",IF(AND(R285="S",S285="RECHAZADO",T285=0),"-",IF(AND(Q285="NC",S285="NC",T285=O285),"-","Revisar")))))))</f>
        <v>-</v>
      </c>
      <c r="AX285" s="86" t="str">
        <f t="shared" ref="AX285:AX348" si="153">IF(T285="","Celda Vacía",IF(AND(OR(S285="AUTORIZADO",S285="PENDIENTE",S285="NC"),O285=T285),"-",IF(AND(S285="REDUCIDO",T285&gt;0,T285&lt;O285),"-",IF(AND(S285="RECHAZADO",T285=0),"-",   IF(AND(S285="AMPLIADO",T285&gt;O285),"-",       "Revisar" )))))</f>
        <v>-</v>
      </c>
      <c r="AY285" s="86" t="str">
        <f t="shared" ref="AY285:AY348" si="154">IF(U285="","Celda vacía",IF(OR(U285="S",U285="N"),"-","Revisar"))</f>
        <v>-</v>
      </c>
      <c r="AZ285" s="86" t="str">
        <f t="shared" ref="AZ285:AZ348" si="155">IF(V285="","Celda vacía",IF(OR(V285="S",V285="N"),"-","Revisar"))</f>
        <v>-</v>
      </c>
      <c r="BA285" s="86" t="str">
        <f t="shared" ref="BA285:BA348" si="156">IF(W285="","Celda vacía",IF(OR(W285="S",W285="N"),"-","Revisar"))</f>
        <v>-</v>
      </c>
      <c r="BB285" s="86" t="str">
        <f t="shared" ref="BB285:BB348" si="157">IF(X285="","Celda Vacia",IF(  OR(          AND(X285=0,W285="S"),AND(X285&lt;&gt;0,W285="N")),"Revisar valor del campo MONTO_SUB","-"))</f>
        <v>-</v>
      </c>
      <c r="BC285" s="86" t="str">
        <f t="shared" ref="BC285:BC348" si="158">IF(Y285="","Celda Vacia",IF(ISERROR(VLOOKUP(Y285,Tabla_33_estado_recuperacion,1,FALSE)),"Se debe corregir el valor según Tabla Nro 33",IF(Y285="SDR",IF(OR(S285="RECHAZADO",W285="N"),"-","Se debe revisar  ESTADO SDR"),IF(Y285="PEN",IF(OR(S285="AUTORIZADO",S285="REDUCIDO",S285="PENDIENTE"),"-","Se debe revisar ESTADO PEN"),IF(AND(OR(W285="S",W285="N"),OR(Y285="TOT",Y285="PAR"),OR(S285="AUTORIZADO",S285="REDUCIDO")),"-","Revisar ER2 Y ESTADO_REC")))))</f>
        <v>-</v>
      </c>
      <c r="BD285" s="86" t="str">
        <f t="shared" ref="BD285:BD348" si="159">IF(Z285="","Celda Vacia", IF(Z285&gt;T285,"Dias recuperados no puede ser mayor a dias autorizados", IF(ISNUMBER(Z285)=TRUE,IF(Z285=0,IF(OR(Y285="SDR",Y285="PEN"),"-",IF(AND(T285&lt;4,OR(Y285="TOT",Y285="PAR")),"-","Se debe revisar los Campos N_DIAS_REC y ESTADO_REC")),IF(AND(Z285&gt;0,Z285&lt;366,OR(Y285="TOT",Y285="PAR")),"-","Se debe revisar los campos ESTADO_REC y N_DIAS_REC")),"Valor del campo N_DIAS_REC no es numérico"))    )</f>
        <v>-</v>
      </c>
      <c r="BE285" s="86" t="str">
        <f t="shared" ref="BE285:BE348" si="160">IF(AA285="","Celda vacia",
IF( AND(AA285=0,(OR(Y285="PEN",Y285="SDR"))),"-",
IF(AND(T285&lt;4,OR(P285="5A",P285="5B",P285="6A",P285="6B"),AA285&gt;=0),"-",
IF(AND(T285&lt;4,P285&lt;&gt;"5A",P285&lt;&gt;"5B",P285&lt;&gt;"6A",P285&lt;&gt;"6B",AA285=0),"-",
IF(AND(T285&lt;4,P285&lt;&gt;"5A",P285&lt;&gt;"5B",P285&lt;&gt;"6A",P285&lt;&gt;"6B",V285="S",AA285&gt;=0),"-",
IF(AND(T285&gt;=4,AA285&gt;0, OR(Y285="TOT",Y285="PAR")),"-",
"Revisar el tipo de licencia medica, dias de licencia para el monto de recuperación declarado"))))))</f>
        <v>-</v>
      </c>
      <c r="BF285" s="86" t="str">
        <f t="shared" ref="BF285:BF348" si="161">IF(AB285="","Celda vacia",IF(ISNUMBER(AB285)=TRUE,IF(AB285=0,IF(OR(Y285="PEN",Y285="SDR"),"-","revisar "),IF(OR(Y285="TOT",Y285="PAR"),"-","Revisar")),"Valor del campo no es numérico"))</f>
        <v>-</v>
      </c>
    </row>
    <row r="286" spans="1:58" x14ac:dyDescent="0.2">
      <c r="A286" s="19" t="s">
        <v>1144</v>
      </c>
      <c r="B286" s="19" t="s">
        <v>76</v>
      </c>
      <c r="C286" s="19">
        <v>10027670</v>
      </c>
      <c r="D286" s="81">
        <v>4</v>
      </c>
      <c r="E286" s="19" t="s">
        <v>1147</v>
      </c>
      <c r="F286" s="19" t="s">
        <v>1341</v>
      </c>
      <c r="G286" s="19" t="s">
        <v>1342</v>
      </c>
      <c r="H286" s="19" t="s">
        <v>663</v>
      </c>
      <c r="I286" s="19" t="s">
        <v>662</v>
      </c>
      <c r="J286" s="19">
        <v>80</v>
      </c>
      <c r="K286" s="19" t="s">
        <v>567</v>
      </c>
      <c r="L286" s="19" t="s">
        <v>502</v>
      </c>
      <c r="M286" s="19" t="s">
        <v>16</v>
      </c>
      <c r="N286" s="19">
        <v>45733</v>
      </c>
      <c r="O286" s="19">
        <v>45</v>
      </c>
      <c r="P286" s="81">
        <v>1</v>
      </c>
      <c r="Q286" s="19" t="s">
        <v>23</v>
      </c>
      <c r="R286" s="19" t="s">
        <v>11</v>
      </c>
      <c r="S286" s="19" t="s">
        <v>23</v>
      </c>
      <c r="T286" s="19">
        <v>45</v>
      </c>
      <c r="U286" s="19" t="s">
        <v>11</v>
      </c>
      <c r="V286" s="19" t="s">
        <v>11</v>
      </c>
      <c r="W286" s="19" t="s">
        <v>19</v>
      </c>
      <c r="X286" s="19">
        <v>601934</v>
      </c>
      <c r="Y286" s="19" t="s">
        <v>735</v>
      </c>
      <c r="Z286" s="19">
        <v>45</v>
      </c>
      <c r="AA286" s="19">
        <v>601934</v>
      </c>
      <c r="AB286" s="19">
        <v>601934</v>
      </c>
      <c r="AC286" s="178" t="str">
        <f>IF(OR(M286="13",M286="14",P286=8),"",IF(AND(OR(S286="AUTORIZADO", S286="PENDIENTE", S286="REDUCIDO", S286="AMPLIADO"),L286&lt;&gt;"HONORARIO" ), CONCATENATE(IF(H286="X","H",H286),"_",IF(OR(P286=5,P286=6),_xlfn.CONCAT(P286,"A"),P286),"_",VLOOKUP(T286,Datos!$B$2:$C$5,2,TRUE)),""))</f>
        <v>H_1_[11 +]</v>
      </c>
      <c r="AD286" s="178">
        <f t="shared" si="135"/>
        <v>1203868</v>
      </c>
      <c r="AE286" s="82" t="str">
        <f t="shared" si="136"/>
        <v>-</v>
      </c>
      <c r="AF286" s="83" t="str">
        <f t="shared" si="137"/>
        <v>070601</v>
      </c>
      <c r="AG286" s="84"/>
      <c r="AH286" s="85" t="str">
        <f t="shared" si="138"/>
        <v>Corporación de Fomento de la Producción</v>
      </c>
      <c r="AI286" s="82" t="str">
        <f t="shared" si="139"/>
        <v>-</v>
      </c>
      <c r="AJ286" s="82">
        <f t="shared" si="140"/>
        <v>4</v>
      </c>
      <c r="AK286" s="82" t="str">
        <f t="shared" si="141"/>
        <v>-</v>
      </c>
      <c r="AL286" s="82" t="str">
        <f t="shared" si="142"/>
        <v>Identifica este registro como HOMBRE</v>
      </c>
      <c r="AM286" s="82" t="str">
        <f t="shared" si="143"/>
        <v>-</v>
      </c>
      <c r="AN286" s="82" t="str">
        <f t="shared" si="144"/>
        <v>-</v>
      </c>
      <c r="AO286" s="82" t="str">
        <f t="shared" si="145"/>
        <v>-</v>
      </c>
      <c r="AP286" s="57" t="str">
        <f t="shared" si="146"/>
        <v>-</v>
      </c>
      <c r="AQ286" s="86" t="str">
        <f t="shared" si="147"/>
        <v>-</v>
      </c>
      <c r="AR286" s="86" t="str">
        <f>IF(N286="","PRIMER_DIA en blanco",
IF(AND(M286="01",N286&gt;=L_Conversion!$C$118,N286&lt;=L_Conversion!$D$118),"-",
IF(AND(M286="02",N286&gt;=L_Conversion!$C$119,N286&lt;=L_Conversion!$D$119),"-",
IF(AND(M286="03",N286&gt;=L_Conversion!$C$120,N286&lt;=L_Conversion!$D$120),"-",
IF(AND(M286="04",N286&gt;=L_Conversion!$C$121,N286&lt;=L_Conversion!$D$121),"-",
IF(AND(M286="05",N286&gt;=L_Conversion!$C$122,N286&lt;=L_Conversion!$D$122),"-",
IF(AND(M286="06",N286&gt;=L_Conversion!$C$123,N286&lt;=L_Conversion!$D$123),"-",
IF(AND(M286="07",N286&gt;=L_Conversion!$C$124,N286&lt;=L_Conversion!$D$124),"-",
IF(AND(M286="08",N286&gt;=L_Conversion!$C$125,N286&lt;=L_Conversion!$D$125),"-",
IF(AND(M286="09",N286&gt;=L_Conversion!$C$126,N286&lt;=L_Conversion!$D$126),"-",
IF(AND(M286="10",N286&gt;=L_Conversion!$C$127,N286&lt;=L_Conversion!$D$127),"-",
IF(AND(M286="11",N286&gt;=L_Conversion!$C$128,N286&lt;=L_Conversion!$D$128),"-",
IF(AND(M286="12",N286&gt;=L_Conversion!$C$129,N286&lt;=L_Conversion!$D$129),"-",
IF(AND(M286="13",N286&gt;=L_Conversion!$C$116,N286&lt;=L_Conversion!$D$116),"-",
IF(AND(M286="14",N286&gt;=L_Conversion!$C$117,N286&lt;=L_Conversion!$D$117),"-",
"PRIMER_DIA fuera de rango")))))))))))))))</f>
        <v>-</v>
      </c>
      <c r="AS286" s="86" t="str">
        <f t="shared" si="148"/>
        <v>-</v>
      </c>
      <c r="AT286" s="86" t="str">
        <f t="shared" si="149"/>
        <v>-</v>
      </c>
      <c r="AU286" s="86" t="str">
        <f t="shared" si="150"/>
        <v>-</v>
      </c>
      <c r="AV286" s="86" t="str">
        <f t="shared" si="151"/>
        <v>-</v>
      </c>
      <c r="AW286" s="86" t="str">
        <f t="shared" si="152"/>
        <v>-</v>
      </c>
      <c r="AX286" s="86" t="str">
        <f t="shared" si="153"/>
        <v>-</v>
      </c>
      <c r="AY286" s="86" t="str">
        <f t="shared" si="154"/>
        <v>-</v>
      </c>
      <c r="AZ286" s="86" t="str">
        <f t="shared" si="155"/>
        <v>-</v>
      </c>
      <c r="BA286" s="86" t="str">
        <f t="shared" si="156"/>
        <v>-</v>
      </c>
      <c r="BB286" s="86" t="str">
        <f t="shared" si="157"/>
        <v>-</v>
      </c>
      <c r="BC286" s="86" t="str">
        <f t="shared" si="158"/>
        <v>-</v>
      </c>
      <c r="BD286" s="86" t="str">
        <f t="shared" si="159"/>
        <v>-</v>
      </c>
      <c r="BE286" s="86" t="str">
        <f t="shared" si="160"/>
        <v>-</v>
      </c>
      <c r="BF286" s="86" t="str">
        <f t="shared" si="161"/>
        <v>-</v>
      </c>
    </row>
    <row r="287" spans="1:58" x14ac:dyDescent="0.2">
      <c r="A287" s="19" t="s">
        <v>1144</v>
      </c>
      <c r="B287" s="19" t="s">
        <v>76</v>
      </c>
      <c r="C287" s="19">
        <v>13913709</v>
      </c>
      <c r="D287" s="81">
        <v>4</v>
      </c>
      <c r="E287" s="19" t="s">
        <v>1229</v>
      </c>
      <c r="F287" s="19" t="s">
        <v>1242</v>
      </c>
      <c r="G287" s="19" t="s">
        <v>1604</v>
      </c>
      <c r="H287" s="19" t="s">
        <v>1033</v>
      </c>
      <c r="I287" s="19" t="s">
        <v>662</v>
      </c>
      <c r="J287" s="19">
        <v>80</v>
      </c>
      <c r="K287" s="19" t="s">
        <v>569</v>
      </c>
      <c r="L287" s="19" t="s">
        <v>502</v>
      </c>
      <c r="M287" s="19" t="s">
        <v>16</v>
      </c>
      <c r="N287" s="19">
        <v>45733</v>
      </c>
      <c r="O287" s="19">
        <v>2</v>
      </c>
      <c r="P287" s="81">
        <v>1</v>
      </c>
      <c r="Q287" s="19" t="s">
        <v>23</v>
      </c>
      <c r="R287" s="19" t="s">
        <v>11</v>
      </c>
      <c r="S287" s="19" t="s">
        <v>23</v>
      </c>
      <c r="T287" s="19">
        <v>2</v>
      </c>
      <c r="U287" s="19" t="s">
        <v>11</v>
      </c>
      <c r="V287" s="19" t="s">
        <v>19</v>
      </c>
      <c r="W287" s="19" t="s">
        <v>19</v>
      </c>
      <c r="X287" s="19">
        <v>13332</v>
      </c>
      <c r="Y287" s="19" t="s">
        <v>735</v>
      </c>
      <c r="Z287" s="19">
        <v>2</v>
      </c>
      <c r="AA287" s="19">
        <v>13332</v>
      </c>
      <c r="AB287" s="19">
        <v>13332</v>
      </c>
      <c r="AC287" s="178" t="str">
        <f>IF(OR(M287="13",M287="14",P287=8),"",IF(AND(OR(S287="AUTORIZADO", S287="PENDIENTE", S287="REDUCIDO", S287="AMPLIADO"),L287&lt;&gt;"HONORARIO" ), CONCATENATE(IF(H287="X","H",H287),"_",IF(OR(P287=5,P287=6),_xlfn.CONCAT(P287,"A"),P287),"_",VLOOKUP(T287,Datos!$B$2:$C$5,2,TRUE)),""))</f>
        <v>M_1_[hasta 3]</v>
      </c>
      <c r="AD287" s="178">
        <f t="shared" si="135"/>
        <v>26664</v>
      </c>
      <c r="AE287" s="82" t="str">
        <f t="shared" si="136"/>
        <v>-</v>
      </c>
      <c r="AF287" s="83" t="str">
        <f t="shared" si="137"/>
        <v>070601</v>
      </c>
      <c r="AG287" s="84"/>
      <c r="AH287" s="85" t="str">
        <f t="shared" si="138"/>
        <v>Corporación de Fomento de la Producción</v>
      </c>
      <c r="AI287" s="82" t="str">
        <f t="shared" si="139"/>
        <v>-</v>
      </c>
      <c r="AJ287" s="82">
        <f t="shared" si="140"/>
        <v>4</v>
      </c>
      <c r="AK287" s="82" t="str">
        <f t="shared" si="141"/>
        <v>-</v>
      </c>
      <c r="AL287" s="82" t="str">
        <f t="shared" si="142"/>
        <v>Identifica este registro como MUJER</v>
      </c>
      <c r="AM287" s="82" t="str">
        <f t="shared" si="143"/>
        <v>-</v>
      </c>
      <c r="AN287" s="82" t="str">
        <f t="shared" si="144"/>
        <v>-</v>
      </c>
      <c r="AO287" s="82" t="str">
        <f t="shared" si="145"/>
        <v>-</v>
      </c>
      <c r="AP287" s="57" t="str">
        <f t="shared" si="146"/>
        <v>-</v>
      </c>
      <c r="AQ287" s="86" t="str">
        <f t="shared" si="147"/>
        <v>-</v>
      </c>
      <c r="AR287" s="86" t="str">
        <f>IF(N287="","PRIMER_DIA en blanco",
IF(AND(M287="01",N287&gt;=L_Conversion!$C$118,N287&lt;=L_Conversion!$D$118),"-",
IF(AND(M287="02",N287&gt;=L_Conversion!$C$119,N287&lt;=L_Conversion!$D$119),"-",
IF(AND(M287="03",N287&gt;=L_Conversion!$C$120,N287&lt;=L_Conversion!$D$120),"-",
IF(AND(M287="04",N287&gt;=L_Conversion!$C$121,N287&lt;=L_Conversion!$D$121),"-",
IF(AND(M287="05",N287&gt;=L_Conversion!$C$122,N287&lt;=L_Conversion!$D$122),"-",
IF(AND(M287="06",N287&gt;=L_Conversion!$C$123,N287&lt;=L_Conversion!$D$123),"-",
IF(AND(M287="07",N287&gt;=L_Conversion!$C$124,N287&lt;=L_Conversion!$D$124),"-",
IF(AND(M287="08",N287&gt;=L_Conversion!$C$125,N287&lt;=L_Conversion!$D$125),"-",
IF(AND(M287="09",N287&gt;=L_Conversion!$C$126,N287&lt;=L_Conversion!$D$126),"-",
IF(AND(M287="10",N287&gt;=L_Conversion!$C$127,N287&lt;=L_Conversion!$D$127),"-",
IF(AND(M287="11",N287&gt;=L_Conversion!$C$128,N287&lt;=L_Conversion!$D$128),"-",
IF(AND(M287="12",N287&gt;=L_Conversion!$C$129,N287&lt;=L_Conversion!$D$129),"-",
IF(AND(M287="13",N287&gt;=L_Conversion!$C$116,N287&lt;=L_Conversion!$D$116),"-",
IF(AND(M287="14",N287&gt;=L_Conversion!$C$117,N287&lt;=L_Conversion!$D$117),"-",
"PRIMER_DIA fuera de rango")))))))))))))))</f>
        <v>-</v>
      </c>
      <c r="AS287" s="86" t="str">
        <f t="shared" si="148"/>
        <v>-</v>
      </c>
      <c r="AT287" s="86" t="str">
        <f t="shared" si="149"/>
        <v>-</v>
      </c>
      <c r="AU287" s="86" t="str">
        <f t="shared" si="150"/>
        <v>-</v>
      </c>
      <c r="AV287" s="86" t="str">
        <f t="shared" si="151"/>
        <v>-</v>
      </c>
      <c r="AW287" s="86" t="str">
        <f t="shared" si="152"/>
        <v>-</v>
      </c>
      <c r="AX287" s="86" t="str">
        <f t="shared" si="153"/>
        <v>-</v>
      </c>
      <c r="AY287" s="86" t="str">
        <f t="shared" si="154"/>
        <v>-</v>
      </c>
      <c r="AZ287" s="86" t="str">
        <f t="shared" si="155"/>
        <v>-</v>
      </c>
      <c r="BA287" s="86" t="str">
        <f t="shared" si="156"/>
        <v>-</v>
      </c>
      <c r="BB287" s="86" t="str">
        <f t="shared" si="157"/>
        <v>-</v>
      </c>
      <c r="BC287" s="86" t="str">
        <f t="shared" si="158"/>
        <v>-</v>
      </c>
      <c r="BD287" s="86" t="str">
        <f t="shared" si="159"/>
        <v>-</v>
      </c>
      <c r="BE287" s="86" t="str">
        <f t="shared" si="160"/>
        <v>-</v>
      </c>
      <c r="BF287" s="86" t="str">
        <f t="shared" si="161"/>
        <v>-</v>
      </c>
    </row>
    <row r="288" spans="1:58" x14ac:dyDescent="0.2">
      <c r="A288" s="19" t="s">
        <v>1144</v>
      </c>
      <c r="B288" s="19" t="s">
        <v>76</v>
      </c>
      <c r="C288" s="19">
        <v>18114965</v>
      </c>
      <c r="D288" s="81">
        <v>5</v>
      </c>
      <c r="E288" s="19" t="s">
        <v>1605</v>
      </c>
      <c r="F288" s="19" t="s">
        <v>1164</v>
      </c>
      <c r="G288" s="19" t="s">
        <v>1606</v>
      </c>
      <c r="H288" s="19" t="s">
        <v>1033</v>
      </c>
      <c r="I288" s="19" t="s">
        <v>662</v>
      </c>
      <c r="J288" s="19">
        <v>80</v>
      </c>
      <c r="K288" s="19" t="s">
        <v>563</v>
      </c>
      <c r="L288" s="19" t="s">
        <v>502</v>
      </c>
      <c r="M288" s="19" t="s">
        <v>16</v>
      </c>
      <c r="N288" s="19">
        <v>45733</v>
      </c>
      <c r="O288" s="19">
        <v>3</v>
      </c>
      <c r="P288" s="81">
        <v>1</v>
      </c>
      <c r="Q288" s="19" t="s">
        <v>23</v>
      </c>
      <c r="R288" s="19" t="s">
        <v>11</v>
      </c>
      <c r="S288" s="19" t="s">
        <v>23</v>
      </c>
      <c r="T288" s="19">
        <v>3</v>
      </c>
      <c r="U288" s="19" t="s">
        <v>11</v>
      </c>
      <c r="V288" s="19" t="s">
        <v>19</v>
      </c>
      <c r="W288" s="19" t="s">
        <v>19</v>
      </c>
      <c r="X288" s="19">
        <v>64414</v>
      </c>
      <c r="Y288" s="19" t="s">
        <v>735</v>
      </c>
      <c r="Z288" s="19">
        <v>3</v>
      </c>
      <c r="AA288" s="19">
        <v>64414</v>
      </c>
      <c r="AB288" s="19">
        <v>64414</v>
      </c>
      <c r="AC288" s="178" t="str">
        <f>IF(OR(M288="13",M288="14",P288=8),"",IF(AND(OR(S288="AUTORIZADO", S288="PENDIENTE", S288="REDUCIDO", S288="AMPLIADO"),L288&lt;&gt;"HONORARIO" ), CONCATENATE(IF(H288="X","H",H288),"_",IF(OR(P288=5,P288=6),_xlfn.CONCAT(P288,"A"),P288),"_",VLOOKUP(T288,Datos!$B$2:$C$5,2,TRUE)),""))</f>
        <v>M_1_[hasta 3]</v>
      </c>
      <c r="AD288" s="178">
        <f t="shared" si="135"/>
        <v>128828</v>
      </c>
      <c r="AE288" s="82" t="str">
        <f t="shared" si="136"/>
        <v>-</v>
      </c>
      <c r="AF288" s="83" t="str">
        <f t="shared" si="137"/>
        <v>070601</v>
      </c>
      <c r="AG288" s="84"/>
      <c r="AH288" s="85" t="str">
        <f t="shared" si="138"/>
        <v>Corporación de Fomento de la Producción</v>
      </c>
      <c r="AI288" s="82" t="str">
        <f t="shared" si="139"/>
        <v>-</v>
      </c>
      <c r="AJ288" s="82">
        <f t="shared" si="140"/>
        <v>5</v>
      </c>
      <c r="AK288" s="82" t="str">
        <f t="shared" si="141"/>
        <v>-</v>
      </c>
      <c r="AL288" s="82" t="str">
        <f t="shared" si="142"/>
        <v>Identifica este registro como MUJER</v>
      </c>
      <c r="AM288" s="82" t="str">
        <f t="shared" si="143"/>
        <v>-</v>
      </c>
      <c r="AN288" s="82" t="str">
        <f t="shared" si="144"/>
        <v>-</v>
      </c>
      <c r="AO288" s="82" t="str">
        <f t="shared" si="145"/>
        <v>-</v>
      </c>
      <c r="AP288" s="57" t="str">
        <f t="shared" si="146"/>
        <v>-</v>
      </c>
      <c r="AQ288" s="86" t="str">
        <f t="shared" si="147"/>
        <v>-</v>
      </c>
      <c r="AR288" s="86" t="str">
        <f>IF(N288="","PRIMER_DIA en blanco",
IF(AND(M288="01",N288&gt;=L_Conversion!$C$118,N288&lt;=L_Conversion!$D$118),"-",
IF(AND(M288="02",N288&gt;=L_Conversion!$C$119,N288&lt;=L_Conversion!$D$119),"-",
IF(AND(M288="03",N288&gt;=L_Conversion!$C$120,N288&lt;=L_Conversion!$D$120),"-",
IF(AND(M288="04",N288&gt;=L_Conversion!$C$121,N288&lt;=L_Conversion!$D$121),"-",
IF(AND(M288="05",N288&gt;=L_Conversion!$C$122,N288&lt;=L_Conversion!$D$122),"-",
IF(AND(M288="06",N288&gt;=L_Conversion!$C$123,N288&lt;=L_Conversion!$D$123),"-",
IF(AND(M288="07",N288&gt;=L_Conversion!$C$124,N288&lt;=L_Conversion!$D$124),"-",
IF(AND(M288="08",N288&gt;=L_Conversion!$C$125,N288&lt;=L_Conversion!$D$125),"-",
IF(AND(M288="09",N288&gt;=L_Conversion!$C$126,N288&lt;=L_Conversion!$D$126),"-",
IF(AND(M288="10",N288&gt;=L_Conversion!$C$127,N288&lt;=L_Conversion!$D$127),"-",
IF(AND(M288="11",N288&gt;=L_Conversion!$C$128,N288&lt;=L_Conversion!$D$128),"-",
IF(AND(M288="12",N288&gt;=L_Conversion!$C$129,N288&lt;=L_Conversion!$D$129),"-",
IF(AND(M288="13",N288&gt;=L_Conversion!$C$116,N288&lt;=L_Conversion!$D$116),"-",
IF(AND(M288="14",N288&gt;=L_Conversion!$C$117,N288&lt;=L_Conversion!$D$117),"-",
"PRIMER_DIA fuera de rango")))))))))))))))</f>
        <v>-</v>
      </c>
      <c r="AS288" s="86" t="str">
        <f t="shared" si="148"/>
        <v>-</v>
      </c>
      <c r="AT288" s="86" t="str">
        <f t="shared" si="149"/>
        <v>-</v>
      </c>
      <c r="AU288" s="86" t="str">
        <f t="shared" si="150"/>
        <v>-</v>
      </c>
      <c r="AV288" s="86" t="str">
        <f t="shared" si="151"/>
        <v>-</v>
      </c>
      <c r="AW288" s="86" t="str">
        <f t="shared" si="152"/>
        <v>-</v>
      </c>
      <c r="AX288" s="86" t="str">
        <f t="shared" si="153"/>
        <v>-</v>
      </c>
      <c r="AY288" s="86" t="str">
        <f t="shared" si="154"/>
        <v>-</v>
      </c>
      <c r="AZ288" s="86" t="str">
        <f t="shared" si="155"/>
        <v>-</v>
      </c>
      <c r="BA288" s="86" t="str">
        <f t="shared" si="156"/>
        <v>-</v>
      </c>
      <c r="BB288" s="86" t="str">
        <f t="shared" si="157"/>
        <v>-</v>
      </c>
      <c r="BC288" s="86" t="str">
        <f t="shared" si="158"/>
        <v>-</v>
      </c>
      <c r="BD288" s="86" t="str">
        <f t="shared" si="159"/>
        <v>-</v>
      </c>
      <c r="BE288" s="86" t="str">
        <f t="shared" si="160"/>
        <v>-</v>
      </c>
      <c r="BF288" s="86" t="str">
        <f t="shared" si="161"/>
        <v>-</v>
      </c>
    </row>
    <row r="289" spans="1:58" x14ac:dyDescent="0.2">
      <c r="A289" s="19" t="s">
        <v>1144</v>
      </c>
      <c r="B289" s="19" t="s">
        <v>76</v>
      </c>
      <c r="C289" s="19">
        <v>20389156</v>
      </c>
      <c r="D289" s="81">
        <v>3</v>
      </c>
      <c r="E289" s="19" t="s">
        <v>1461</v>
      </c>
      <c r="F289" s="19" t="s">
        <v>1461</v>
      </c>
      <c r="G289" s="19" t="s">
        <v>1607</v>
      </c>
      <c r="H289" s="19" t="s">
        <v>663</v>
      </c>
      <c r="I289" s="19" t="s">
        <v>662</v>
      </c>
      <c r="J289" s="19">
        <v>80</v>
      </c>
      <c r="K289" s="19" t="s">
        <v>563</v>
      </c>
      <c r="L289" s="19" t="s">
        <v>502</v>
      </c>
      <c r="M289" s="19" t="s">
        <v>16</v>
      </c>
      <c r="N289" s="19">
        <v>45733</v>
      </c>
      <c r="O289" s="19">
        <v>2</v>
      </c>
      <c r="P289" s="81">
        <v>1</v>
      </c>
      <c r="Q289" s="19" t="s">
        <v>23</v>
      </c>
      <c r="R289" s="19" t="s">
        <v>11</v>
      </c>
      <c r="S289" s="19" t="s">
        <v>23</v>
      </c>
      <c r="T289" s="19">
        <v>2</v>
      </c>
      <c r="U289" s="19" t="s">
        <v>11</v>
      </c>
      <c r="V289" s="19" t="s">
        <v>19</v>
      </c>
      <c r="W289" s="19" t="s">
        <v>19</v>
      </c>
      <c r="X289" s="19">
        <v>26775</v>
      </c>
      <c r="Y289" s="19" t="s">
        <v>735</v>
      </c>
      <c r="Z289" s="19">
        <v>2</v>
      </c>
      <c r="AA289" s="19">
        <v>26775</v>
      </c>
      <c r="AB289" s="19">
        <v>26775</v>
      </c>
      <c r="AC289" s="178" t="str">
        <f>IF(OR(M289="13",M289="14",P289=8),"",IF(AND(OR(S289="AUTORIZADO", S289="PENDIENTE", S289="REDUCIDO", S289="AMPLIADO"),L289&lt;&gt;"HONORARIO" ), CONCATENATE(IF(H289="X","H",H289),"_",IF(OR(P289=5,P289=6),_xlfn.CONCAT(P289,"A"),P289),"_",VLOOKUP(T289,Datos!$B$2:$C$5,2,TRUE)),""))</f>
        <v>H_1_[hasta 3]</v>
      </c>
      <c r="AD289" s="178">
        <f t="shared" si="135"/>
        <v>53550</v>
      </c>
      <c r="AE289" s="82" t="str">
        <f t="shared" si="136"/>
        <v>-</v>
      </c>
      <c r="AF289" s="83" t="str">
        <f t="shared" si="137"/>
        <v>070601</v>
      </c>
      <c r="AG289" s="84"/>
      <c r="AH289" s="85" t="str">
        <f t="shared" si="138"/>
        <v>Corporación de Fomento de la Producción</v>
      </c>
      <c r="AI289" s="82" t="str">
        <f t="shared" si="139"/>
        <v>-</v>
      </c>
      <c r="AJ289" s="82">
        <f t="shared" si="140"/>
        <v>3</v>
      </c>
      <c r="AK289" s="82" t="str">
        <f t="shared" si="141"/>
        <v>-</v>
      </c>
      <c r="AL289" s="82" t="str">
        <f t="shared" si="142"/>
        <v>Identifica este registro como HOMBRE</v>
      </c>
      <c r="AM289" s="82" t="str">
        <f t="shared" si="143"/>
        <v>-</v>
      </c>
      <c r="AN289" s="82" t="str">
        <f t="shared" si="144"/>
        <v>-</v>
      </c>
      <c r="AO289" s="82" t="str">
        <f t="shared" si="145"/>
        <v>-</v>
      </c>
      <c r="AP289" s="57" t="str">
        <f t="shared" si="146"/>
        <v>-</v>
      </c>
      <c r="AQ289" s="86" t="str">
        <f t="shared" si="147"/>
        <v>-</v>
      </c>
      <c r="AR289" s="86" t="str">
        <f>IF(N289="","PRIMER_DIA en blanco",
IF(AND(M289="01",N289&gt;=L_Conversion!$C$118,N289&lt;=L_Conversion!$D$118),"-",
IF(AND(M289="02",N289&gt;=L_Conversion!$C$119,N289&lt;=L_Conversion!$D$119),"-",
IF(AND(M289="03",N289&gt;=L_Conversion!$C$120,N289&lt;=L_Conversion!$D$120),"-",
IF(AND(M289="04",N289&gt;=L_Conversion!$C$121,N289&lt;=L_Conversion!$D$121),"-",
IF(AND(M289="05",N289&gt;=L_Conversion!$C$122,N289&lt;=L_Conversion!$D$122),"-",
IF(AND(M289="06",N289&gt;=L_Conversion!$C$123,N289&lt;=L_Conversion!$D$123),"-",
IF(AND(M289="07",N289&gt;=L_Conversion!$C$124,N289&lt;=L_Conversion!$D$124),"-",
IF(AND(M289="08",N289&gt;=L_Conversion!$C$125,N289&lt;=L_Conversion!$D$125),"-",
IF(AND(M289="09",N289&gt;=L_Conversion!$C$126,N289&lt;=L_Conversion!$D$126),"-",
IF(AND(M289="10",N289&gt;=L_Conversion!$C$127,N289&lt;=L_Conversion!$D$127),"-",
IF(AND(M289="11",N289&gt;=L_Conversion!$C$128,N289&lt;=L_Conversion!$D$128),"-",
IF(AND(M289="12",N289&gt;=L_Conversion!$C$129,N289&lt;=L_Conversion!$D$129),"-",
IF(AND(M289="13",N289&gt;=L_Conversion!$C$116,N289&lt;=L_Conversion!$D$116),"-",
IF(AND(M289="14",N289&gt;=L_Conversion!$C$117,N289&lt;=L_Conversion!$D$117),"-",
"PRIMER_DIA fuera de rango")))))))))))))))</f>
        <v>-</v>
      </c>
      <c r="AS289" s="86" t="str">
        <f t="shared" si="148"/>
        <v>-</v>
      </c>
      <c r="AT289" s="86" t="str">
        <f t="shared" si="149"/>
        <v>-</v>
      </c>
      <c r="AU289" s="86" t="str">
        <f t="shared" si="150"/>
        <v>-</v>
      </c>
      <c r="AV289" s="86" t="str">
        <f t="shared" si="151"/>
        <v>-</v>
      </c>
      <c r="AW289" s="86" t="str">
        <f t="shared" si="152"/>
        <v>-</v>
      </c>
      <c r="AX289" s="86" t="str">
        <f t="shared" si="153"/>
        <v>-</v>
      </c>
      <c r="AY289" s="86" t="str">
        <f t="shared" si="154"/>
        <v>-</v>
      </c>
      <c r="AZ289" s="86" t="str">
        <f t="shared" si="155"/>
        <v>-</v>
      </c>
      <c r="BA289" s="86" t="str">
        <f t="shared" si="156"/>
        <v>-</v>
      </c>
      <c r="BB289" s="86" t="str">
        <f t="shared" si="157"/>
        <v>-</v>
      </c>
      <c r="BC289" s="86" t="str">
        <f t="shared" si="158"/>
        <v>-</v>
      </c>
      <c r="BD289" s="86" t="str">
        <f t="shared" si="159"/>
        <v>-</v>
      </c>
      <c r="BE289" s="86" t="str">
        <f t="shared" si="160"/>
        <v>-</v>
      </c>
      <c r="BF289" s="86" t="str">
        <f t="shared" si="161"/>
        <v>-</v>
      </c>
    </row>
    <row r="290" spans="1:58" x14ac:dyDescent="0.2">
      <c r="A290" s="19" t="s">
        <v>1144</v>
      </c>
      <c r="B290" s="19" t="s">
        <v>76</v>
      </c>
      <c r="C290" s="19">
        <v>11582989</v>
      </c>
      <c r="D290" s="81">
        <v>0</v>
      </c>
      <c r="E290" s="19" t="s">
        <v>1298</v>
      </c>
      <c r="F290" s="19" t="s">
        <v>1608</v>
      </c>
      <c r="G290" s="19" t="s">
        <v>1609</v>
      </c>
      <c r="H290" s="19" t="s">
        <v>1033</v>
      </c>
      <c r="I290" s="19" t="s">
        <v>662</v>
      </c>
      <c r="J290" s="19">
        <v>80</v>
      </c>
      <c r="K290" s="19" t="s">
        <v>563</v>
      </c>
      <c r="L290" s="19" t="s">
        <v>502</v>
      </c>
      <c r="M290" s="19" t="s">
        <v>16</v>
      </c>
      <c r="N290" s="19">
        <v>45733</v>
      </c>
      <c r="O290" s="19">
        <v>3</v>
      </c>
      <c r="P290" s="81">
        <v>1</v>
      </c>
      <c r="Q290" s="19" t="s">
        <v>23</v>
      </c>
      <c r="R290" s="19" t="s">
        <v>11</v>
      </c>
      <c r="S290" s="19" t="s">
        <v>23</v>
      </c>
      <c r="T290" s="19">
        <v>3</v>
      </c>
      <c r="U290" s="19" t="s">
        <v>11</v>
      </c>
      <c r="V290" s="19" t="s">
        <v>19</v>
      </c>
      <c r="W290" s="19" t="s">
        <v>19</v>
      </c>
      <c r="X290" s="19">
        <v>43618</v>
      </c>
      <c r="Y290" s="19" t="s">
        <v>735</v>
      </c>
      <c r="Z290" s="19">
        <v>3</v>
      </c>
      <c r="AA290" s="19">
        <v>43618</v>
      </c>
      <c r="AB290" s="19">
        <v>43618</v>
      </c>
      <c r="AC290" s="178" t="str">
        <f>IF(OR(M290="13",M290="14",P290=8),"",IF(AND(OR(S290="AUTORIZADO", S290="PENDIENTE", S290="REDUCIDO", S290="AMPLIADO"),L290&lt;&gt;"HONORARIO" ), CONCATENATE(IF(H290="X","H",H290),"_",IF(OR(P290=5,P290=6),_xlfn.CONCAT(P290,"A"),P290),"_",VLOOKUP(T290,Datos!$B$2:$C$5,2,TRUE)),""))</f>
        <v>M_1_[hasta 3]</v>
      </c>
      <c r="AD290" s="178">
        <f t="shared" si="135"/>
        <v>87236</v>
      </c>
      <c r="AE290" s="82" t="str">
        <f t="shared" si="136"/>
        <v>-</v>
      </c>
      <c r="AF290" s="83" t="str">
        <f t="shared" si="137"/>
        <v>070601</v>
      </c>
      <c r="AG290" s="84"/>
      <c r="AH290" s="85" t="str">
        <f t="shared" si="138"/>
        <v>Corporación de Fomento de la Producción</v>
      </c>
      <c r="AI290" s="82" t="str">
        <f t="shared" si="139"/>
        <v>-</v>
      </c>
      <c r="AJ290" s="82">
        <f t="shared" si="140"/>
        <v>0</v>
      </c>
      <c r="AK290" s="82" t="str">
        <f t="shared" si="141"/>
        <v>-</v>
      </c>
      <c r="AL290" s="82" t="str">
        <f t="shared" si="142"/>
        <v>Identifica este registro como MUJER</v>
      </c>
      <c r="AM290" s="82" t="str">
        <f t="shared" si="143"/>
        <v>-</v>
      </c>
      <c r="AN290" s="82" t="str">
        <f t="shared" si="144"/>
        <v>-</v>
      </c>
      <c r="AO290" s="82" t="str">
        <f t="shared" si="145"/>
        <v>-</v>
      </c>
      <c r="AP290" s="57" t="str">
        <f t="shared" si="146"/>
        <v>-</v>
      </c>
      <c r="AQ290" s="86" t="str">
        <f t="shared" si="147"/>
        <v>-</v>
      </c>
      <c r="AR290" s="86" t="str">
        <f>IF(N290="","PRIMER_DIA en blanco",
IF(AND(M290="01",N290&gt;=L_Conversion!$C$118,N290&lt;=L_Conversion!$D$118),"-",
IF(AND(M290="02",N290&gt;=L_Conversion!$C$119,N290&lt;=L_Conversion!$D$119),"-",
IF(AND(M290="03",N290&gt;=L_Conversion!$C$120,N290&lt;=L_Conversion!$D$120),"-",
IF(AND(M290="04",N290&gt;=L_Conversion!$C$121,N290&lt;=L_Conversion!$D$121),"-",
IF(AND(M290="05",N290&gt;=L_Conversion!$C$122,N290&lt;=L_Conversion!$D$122),"-",
IF(AND(M290="06",N290&gt;=L_Conversion!$C$123,N290&lt;=L_Conversion!$D$123),"-",
IF(AND(M290="07",N290&gt;=L_Conversion!$C$124,N290&lt;=L_Conversion!$D$124),"-",
IF(AND(M290="08",N290&gt;=L_Conversion!$C$125,N290&lt;=L_Conversion!$D$125),"-",
IF(AND(M290="09",N290&gt;=L_Conversion!$C$126,N290&lt;=L_Conversion!$D$126),"-",
IF(AND(M290="10",N290&gt;=L_Conversion!$C$127,N290&lt;=L_Conversion!$D$127),"-",
IF(AND(M290="11",N290&gt;=L_Conversion!$C$128,N290&lt;=L_Conversion!$D$128),"-",
IF(AND(M290="12",N290&gt;=L_Conversion!$C$129,N290&lt;=L_Conversion!$D$129),"-",
IF(AND(M290="13",N290&gt;=L_Conversion!$C$116,N290&lt;=L_Conversion!$D$116),"-",
IF(AND(M290="14",N290&gt;=L_Conversion!$C$117,N290&lt;=L_Conversion!$D$117),"-",
"PRIMER_DIA fuera de rango")))))))))))))))</f>
        <v>-</v>
      </c>
      <c r="AS290" s="86" t="str">
        <f t="shared" si="148"/>
        <v>-</v>
      </c>
      <c r="AT290" s="86" t="str">
        <f t="shared" si="149"/>
        <v>-</v>
      </c>
      <c r="AU290" s="86" t="str">
        <f t="shared" si="150"/>
        <v>-</v>
      </c>
      <c r="AV290" s="86" t="str">
        <f t="shared" si="151"/>
        <v>-</v>
      </c>
      <c r="AW290" s="86" t="str">
        <f t="shared" si="152"/>
        <v>-</v>
      </c>
      <c r="AX290" s="86" t="str">
        <f t="shared" si="153"/>
        <v>-</v>
      </c>
      <c r="AY290" s="86" t="str">
        <f t="shared" si="154"/>
        <v>-</v>
      </c>
      <c r="AZ290" s="86" t="str">
        <f t="shared" si="155"/>
        <v>-</v>
      </c>
      <c r="BA290" s="86" t="str">
        <f t="shared" si="156"/>
        <v>-</v>
      </c>
      <c r="BB290" s="86" t="str">
        <f t="shared" si="157"/>
        <v>-</v>
      </c>
      <c r="BC290" s="86" t="str">
        <f t="shared" si="158"/>
        <v>-</v>
      </c>
      <c r="BD290" s="86" t="str">
        <f t="shared" si="159"/>
        <v>-</v>
      </c>
      <c r="BE290" s="86" t="str">
        <f t="shared" si="160"/>
        <v>-</v>
      </c>
      <c r="BF290" s="86" t="str">
        <f t="shared" si="161"/>
        <v>-</v>
      </c>
    </row>
    <row r="291" spans="1:58" x14ac:dyDescent="0.2">
      <c r="A291" s="19" t="s">
        <v>1144</v>
      </c>
      <c r="B291" s="19" t="s">
        <v>76</v>
      </c>
      <c r="C291" s="19">
        <v>11897179</v>
      </c>
      <c r="D291" s="81">
        <v>5</v>
      </c>
      <c r="E291" s="19" t="s">
        <v>1442</v>
      </c>
      <c r="F291" s="19" t="s">
        <v>1175</v>
      </c>
      <c r="G291" s="19" t="s">
        <v>1443</v>
      </c>
      <c r="H291" s="19" t="s">
        <v>1033</v>
      </c>
      <c r="I291" s="19" t="s">
        <v>662</v>
      </c>
      <c r="J291" s="19">
        <v>80</v>
      </c>
      <c r="K291" s="19" t="s">
        <v>567</v>
      </c>
      <c r="L291" s="19" t="s">
        <v>502</v>
      </c>
      <c r="M291" s="19" t="s">
        <v>16</v>
      </c>
      <c r="N291" s="19">
        <v>45733</v>
      </c>
      <c r="O291" s="19">
        <v>14</v>
      </c>
      <c r="P291" s="81">
        <v>1</v>
      </c>
      <c r="Q291" s="19" t="s">
        <v>23</v>
      </c>
      <c r="R291" s="19" t="s">
        <v>11</v>
      </c>
      <c r="S291" s="19" t="s">
        <v>23</v>
      </c>
      <c r="T291" s="19">
        <v>14</v>
      </c>
      <c r="U291" s="19" t="s">
        <v>11</v>
      </c>
      <c r="V291" s="19" t="s">
        <v>11</v>
      </c>
      <c r="W291" s="19" t="s">
        <v>19</v>
      </c>
      <c r="X291" s="19">
        <v>746352</v>
      </c>
      <c r="Y291" s="19" t="s">
        <v>735</v>
      </c>
      <c r="Z291" s="19">
        <v>14</v>
      </c>
      <c r="AA291" s="19">
        <v>746352</v>
      </c>
      <c r="AB291" s="19">
        <v>746352</v>
      </c>
      <c r="AC291" s="178" t="str">
        <f>IF(OR(M291="13",M291="14",P291=8),"",IF(AND(OR(S291="AUTORIZADO", S291="PENDIENTE", S291="REDUCIDO", S291="AMPLIADO"),L291&lt;&gt;"HONORARIO" ), CONCATENATE(IF(H291="X","H",H291),"_",IF(OR(P291=5,P291=6),_xlfn.CONCAT(P291,"A"),P291),"_",VLOOKUP(T291,Datos!$B$2:$C$5,2,TRUE)),""))</f>
        <v>M_1_[11 +]</v>
      </c>
      <c r="AD291" s="178">
        <f t="shared" si="135"/>
        <v>1492704</v>
      </c>
      <c r="AE291" s="82" t="str">
        <f t="shared" si="136"/>
        <v>-</v>
      </c>
      <c r="AF291" s="83" t="str">
        <f t="shared" si="137"/>
        <v>070601</v>
      </c>
      <c r="AG291" s="84"/>
      <c r="AH291" s="85" t="str">
        <f t="shared" si="138"/>
        <v>Corporación de Fomento de la Producción</v>
      </c>
      <c r="AI291" s="82" t="str">
        <f t="shared" si="139"/>
        <v>-</v>
      </c>
      <c r="AJ291" s="82">
        <f t="shared" si="140"/>
        <v>5</v>
      </c>
      <c r="AK291" s="82" t="str">
        <f t="shared" si="141"/>
        <v>-</v>
      </c>
      <c r="AL291" s="82" t="str">
        <f t="shared" si="142"/>
        <v>Identifica este registro como MUJER</v>
      </c>
      <c r="AM291" s="82" t="str">
        <f t="shared" si="143"/>
        <v>-</v>
      </c>
      <c r="AN291" s="82" t="str">
        <f t="shared" si="144"/>
        <v>-</v>
      </c>
      <c r="AO291" s="82" t="str">
        <f t="shared" si="145"/>
        <v>-</v>
      </c>
      <c r="AP291" s="57" t="str">
        <f t="shared" si="146"/>
        <v>-</v>
      </c>
      <c r="AQ291" s="86" t="str">
        <f t="shared" si="147"/>
        <v>-</v>
      </c>
      <c r="AR291" s="86" t="str">
        <f>IF(N291="","PRIMER_DIA en blanco",
IF(AND(M291="01",N291&gt;=L_Conversion!$C$118,N291&lt;=L_Conversion!$D$118),"-",
IF(AND(M291="02",N291&gt;=L_Conversion!$C$119,N291&lt;=L_Conversion!$D$119),"-",
IF(AND(M291="03",N291&gt;=L_Conversion!$C$120,N291&lt;=L_Conversion!$D$120),"-",
IF(AND(M291="04",N291&gt;=L_Conversion!$C$121,N291&lt;=L_Conversion!$D$121),"-",
IF(AND(M291="05",N291&gt;=L_Conversion!$C$122,N291&lt;=L_Conversion!$D$122),"-",
IF(AND(M291="06",N291&gt;=L_Conversion!$C$123,N291&lt;=L_Conversion!$D$123),"-",
IF(AND(M291="07",N291&gt;=L_Conversion!$C$124,N291&lt;=L_Conversion!$D$124),"-",
IF(AND(M291="08",N291&gt;=L_Conversion!$C$125,N291&lt;=L_Conversion!$D$125),"-",
IF(AND(M291="09",N291&gt;=L_Conversion!$C$126,N291&lt;=L_Conversion!$D$126),"-",
IF(AND(M291="10",N291&gt;=L_Conversion!$C$127,N291&lt;=L_Conversion!$D$127),"-",
IF(AND(M291="11",N291&gt;=L_Conversion!$C$128,N291&lt;=L_Conversion!$D$128),"-",
IF(AND(M291="12",N291&gt;=L_Conversion!$C$129,N291&lt;=L_Conversion!$D$129),"-",
IF(AND(M291="13",N291&gt;=L_Conversion!$C$116,N291&lt;=L_Conversion!$D$116),"-",
IF(AND(M291="14",N291&gt;=L_Conversion!$C$117,N291&lt;=L_Conversion!$D$117),"-",
"PRIMER_DIA fuera de rango")))))))))))))))</f>
        <v>-</v>
      </c>
      <c r="AS291" s="86" t="str">
        <f t="shared" si="148"/>
        <v>-</v>
      </c>
      <c r="AT291" s="86" t="str">
        <f t="shared" si="149"/>
        <v>-</v>
      </c>
      <c r="AU291" s="86" t="str">
        <f t="shared" si="150"/>
        <v>-</v>
      </c>
      <c r="AV291" s="86" t="str">
        <f t="shared" si="151"/>
        <v>-</v>
      </c>
      <c r="AW291" s="86" t="str">
        <f t="shared" si="152"/>
        <v>-</v>
      </c>
      <c r="AX291" s="86" t="str">
        <f t="shared" si="153"/>
        <v>-</v>
      </c>
      <c r="AY291" s="86" t="str">
        <f t="shared" si="154"/>
        <v>-</v>
      </c>
      <c r="AZ291" s="86" t="str">
        <f t="shared" si="155"/>
        <v>-</v>
      </c>
      <c r="BA291" s="86" t="str">
        <f t="shared" si="156"/>
        <v>-</v>
      </c>
      <c r="BB291" s="86" t="str">
        <f t="shared" si="157"/>
        <v>-</v>
      </c>
      <c r="BC291" s="86" t="str">
        <f t="shared" si="158"/>
        <v>-</v>
      </c>
      <c r="BD291" s="86" t="str">
        <f t="shared" si="159"/>
        <v>-</v>
      </c>
      <c r="BE291" s="86" t="str">
        <f t="shared" si="160"/>
        <v>-</v>
      </c>
      <c r="BF291" s="86" t="str">
        <f t="shared" si="161"/>
        <v>-</v>
      </c>
    </row>
    <row r="292" spans="1:58" x14ac:dyDescent="0.2">
      <c r="A292" s="19" t="s">
        <v>1144</v>
      </c>
      <c r="B292" s="19" t="s">
        <v>76</v>
      </c>
      <c r="C292" s="19">
        <v>13227546</v>
      </c>
      <c r="D292" s="81">
        <v>7</v>
      </c>
      <c r="E292" s="19" t="s">
        <v>1317</v>
      </c>
      <c r="F292" s="19" t="s">
        <v>1198</v>
      </c>
      <c r="G292" s="19" t="s">
        <v>1318</v>
      </c>
      <c r="H292" s="19" t="s">
        <v>1033</v>
      </c>
      <c r="I292" s="19" t="s">
        <v>662</v>
      </c>
      <c r="J292" s="19">
        <v>80</v>
      </c>
      <c r="K292" s="19" t="s">
        <v>563</v>
      </c>
      <c r="L292" s="19" t="s">
        <v>502</v>
      </c>
      <c r="M292" s="19" t="s">
        <v>16</v>
      </c>
      <c r="N292" s="19">
        <v>45734</v>
      </c>
      <c r="O292" s="19">
        <v>11</v>
      </c>
      <c r="P292" s="81">
        <v>1</v>
      </c>
      <c r="Q292" s="19" t="s">
        <v>23</v>
      </c>
      <c r="R292" s="19" t="s">
        <v>11</v>
      </c>
      <c r="S292" s="19" t="s">
        <v>23</v>
      </c>
      <c r="T292" s="19">
        <v>11</v>
      </c>
      <c r="U292" s="19" t="s">
        <v>11</v>
      </c>
      <c r="V292" s="19" t="s">
        <v>11</v>
      </c>
      <c r="W292" s="19" t="s">
        <v>19</v>
      </c>
      <c r="X292" s="19">
        <v>1189676</v>
      </c>
      <c r="Y292" s="19" t="s">
        <v>735</v>
      </c>
      <c r="Z292" s="19">
        <v>11</v>
      </c>
      <c r="AA292" s="19">
        <v>1189676</v>
      </c>
      <c r="AB292" s="19">
        <v>1189676</v>
      </c>
      <c r="AC292" s="178" t="str">
        <f>IF(OR(M292="13",M292="14",P292=8),"",IF(AND(OR(S292="AUTORIZADO", S292="PENDIENTE", S292="REDUCIDO", S292="AMPLIADO"),L292&lt;&gt;"HONORARIO" ), CONCATENATE(IF(H292="X","H",H292),"_",IF(OR(P292=5,P292=6),_xlfn.CONCAT(P292,"A"),P292),"_",VLOOKUP(T292,Datos!$B$2:$C$5,2,TRUE)),""))</f>
        <v>M_1_[11 +]</v>
      </c>
      <c r="AD292" s="178">
        <f t="shared" si="135"/>
        <v>2379352</v>
      </c>
      <c r="AE292" s="82" t="str">
        <f t="shared" si="136"/>
        <v>-</v>
      </c>
      <c r="AF292" s="83" t="str">
        <f t="shared" si="137"/>
        <v>070601</v>
      </c>
      <c r="AG292" s="84"/>
      <c r="AH292" s="85" t="str">
        <f t="shared" si="138"/>
        <v>Corporación de Fomento de la Producción</v>
      </c>
      <c r="AI292" s="82" t="str">
        <f t="shared" si="139"/>
        <v>-</v>
      </c>
      <c r="AJ292" s="82">
        <f t="shared" si="140"/>
        <v>7</v>
      </c>
      <c r="AK292" s="82" t="str">
        <f t="shared" si="141"/>
        <v>-</v>
      </c>
      <c r="AL292" s="82" t="str">
        <f t="shared" si="142"/>
        <v>Identifica este registro como MUJER</v>
      </c>
      <c r="AM292" s="82" t="str">
        <f t="shared" si="143"/>
        <v>-</v>
      </c>
      <c r="AN292" s="82" t="str">
        <f t="shared" si="144"/>
        <v>-</v>
      </c>
      <c r="AO292" s="82" t="str">
        <f t="shared" si="145"/>
        <v>-</v>
      </c>
      <c r="AP292" s="57" t="str">
        <f t="shared" si="146"/>
        <v>-</v>
      </c>
      <c r="AQ292" s="86" t="str">
        <f t="shared" si="147"/>
        <v>-</v>
      </c>
      <c r="AR292" s="86" t="str">
        <f>IF(N292="","PRIMER_DIA en blanco",
IF(AND(M292="01",N292&gt;=L_Conversion!$C$118,N292&lt;=L_Conversion!$D$118),"-",
IF(AND(M292="02",N292&gt;=L_Conversion!$C$119,N292&lt;=L_Conversion!$D$119),"-",
IF(AND(M292="03",N292&gt;=L_Conversion!$C$120,N292&lt;=L_Conversion!$D$120),"-",
IF(AND(M292="04",N292&gt;=L_Conversion!$C$121,N292&lt;=L_Conversion!$D$121),"-",
IF(AND(M292="05",N292&gt;=L_Conversion!$C$122,N292&lt;=L_Conversion!$D$122),"-",
IF(AND(M292="06",N292&gt;=L_Conversion!$C$123,N292&lt;=L_Conversion!$D$123),"-",
IF(AND(M292="07",N292&gt;=L_Conversion!$C$124,N292&lt;=L_Conversion!$D$124),"-",
IF(AND(M292="08",N292&gt;=L_Conversion!$C$125,N292&lt;=L_Conversion!$D$125),"-",
IF(AND(M292="09",N292&gt;=L_Conversion!$C$126,N292&lt;=L_Conversion!$D$126),"-",
IF(AND(M292="10",N292&gt;=L_Conversion!$C$127,N292&lt;=L_Conversion!$D$127),"-",
IF(AND(M292="11",N292&gt;=L_Conversion!$C$128,N292&lt;=L_Conversion!$D$128),"-",
IF(AND(M292="12",N292&gt;=L_Conversion!$C$129,N292&lt;=L_Conversion!$D$129),"-",
IF(AND(M292="13",N292&gt;=L_Conversion!$C$116,N292&lt;=L_Conversion!$D$116),"-",
IF(AND(M292="14",N292&gt;=L_Conversion!$C$117,N292&lt;=L_Conversion!$D$117),"-",
"PRIMER_DIA fuera de rango")))))))))))))))</f>
        <v>-</v>
      </c>
      <c r="AS292" s="86" t="str">
        <f t="shared" si="148"/>
        <v>-</v>
      </c>
      <c r="AT292" s="86" t="str">
        <f t="shared" si="149"/>
        <v>-</v>
      </c>
      <c r="AU292" s="86" t="str">
        <f t="shared" si="150"/>
        <v>-</v>
      </c>
      <c r="AV292" s="86" t="str">
        <f t="shared" si="151"/>
        <v>-</v>
      </c>
      <c r="AW292" s="86" t="str">
        <f t="shared" si="152"/>
        <v>-</v>
      </c>
      <c r="AX292" s="86" t="str">
        <f t="shared" si="153"/>
        <v>-</v>
      </c>
      <c r="AY292" s="86" t="str">
        <f t="shared" si="154"/>
        <v>-</v>
      </c>
      <c r="AZ292" s="86" t="str">
        <f t="shared" si="155"/>
        <v>-</v>
      </c>
      <c r="BA292" s="86" t="str">
        <f t="shared" si="156"/>
        <v>-</v>
      </c>
      <c r="BB292" s="86" t="str">
        <f t="shared" si="157"/>
        <v>-</v>
      </c>
      <c r="BC292" s="86" t="str">
        <f t="shared" si="158"/>
        <v>-</v>
      </c>
      <c r="BD292" s="86" t="str">
        <f t="shared" si="159"/>
        <v>-</v>
      </c>
      <c r="BE292" s="86" t="str">
        <f t="shared" si="160"/>
        <v>-</v>
      </c>
      <c r="BF292" s="86" t="str">
        <f t="shared" si="161"/>
        <v>-</v>
      </c>
    </row>
    <row r="293" spans="1:58" x14ac:dyDescent="0.2">
      <c r="A293" s="19" t="s">
        <v>1144</v>
      </c>
      <c r="B293" s="19" t="s">
        <v>76</v>
      </c>
      <c r="C293" s="19">
        <v>16094298</v>
      </c>
      <c r="D293" s="81">
        <v>3</v>
      </c>
      <c r="E293" s="19" t="s">
        <v>1205</v>
      </c>
      <c r="F293" s="19" t="s">
        <v>1210</v>
      </c>
      <c r="G293" s="19" t="s">
        <v>1610</v>
      </c>
      <c r="H293" s="19" t="s">
        <v>663</v>
      </c>
      <c r="I293" s="19" t="s">
        <v>662</v>
      </c>
      <c r="J293" s="19">
        <v>80</v>
      </c>
      <c r="K293" s="19" t="s">
        <v>563</v>
      </c>
      <c r="L293" s="19" t="s">
        <v>502</v>
      </c>
      <c r="M293" s="19" t="s">
        <v>16</v>
      </c>
      <c r="N293" s="19">
        <v>45734</v>
      </c>
      <c r="O293" s="19">
        <v>3</v>
      </c>
      <c r="P293" s="81">
        <v>1</v>
      </c>
      <c r="Q293" s="19" t="s">
        <v>23</v>
      </c>
      <c r="R293" s="19" t="s">
        <v>11</v>
      </c>
      <c r="S293" s="19" t="s">
        <v>23</v>
      </c>
      <c r="T293" s="19">
        <v>3</v>
      </c>
      <c r="U293" s="19" t="s">
        <v>11</v>
      </c>
      <c r="V293" s="19" t="s">
        <v>19</v>
      </c>
      <c r="W293" s="19" t="s">
        <v>19</v>
      </c>
      <c r="X293" s="19">
        <v>65571</v>
      </c>
      <c r="Y293" s="19" t="s">
        <v>735</v>
      </c>
      <c r="Z293" s="19">
        <v>3</v>
      </c>
      <c r="AA293" s="19">
        <v>65571</v>
      </c>
      <c r="AB293" s="19">
        <v>65571</v>
      </c>
      <c r="AC293" s="178" t="str">
        <f>IF(OR(M293="13",M293="14",P293=8),"",IF(AND(OR(S293="AUTORIZADO", S293="PENDIENTE", S293="REDUCIDO", S293="AMPLIADO"),L293&lt;&gt;"HONORARIO" ), CONCATENATE(IF(H293="X","H",H293),"_",IF(OR(P293=5,P293=6),_xlfn.CONCAT(P293,"A"),P293),"_",VLOOKUP(T293,Datos!$B$2:$C$5,2,TRUE)),""))</f>
        <v>H_1_[hasta 3]</v>
      </c>
      <c r="AD293" s="178">
        <f t="shared" si="135"/>
        <v>131142</v>
      </c>
      <c r="AE293" s="82" t="str">
        <f t="shared" si="136"/>
        <v>-</v>
      </c>
      <c r="AF293" s="83" t="str">
        <f t="shared" si="137"/>
        <v>070601</v>
      </c>
      <c r="AG293" s="84"/>
      <c r="AH293" s="85" t="str">
        <f t="shared" si="138"/>
        <v>Corporación de Fomento de la Producción</v>
      </c>
      <c r="AI293" s="82" t="str">
        <f t="shared" si="139"/>
        <v>-</v>
      </c>
      <c r="AJ293" s="82">
        <f t="shared" si="140"/>
        <v>3</v>
      </c>
      <c r="AK293" s="82" t="str">
        <f t="shared" si="141"/>
        <v>-</v>
      </c>
      <c r="AL293" s="82" t="str">
        <f t="shared" si="142"/>
        <v>Identifica este registro como HOMBRE</v>
      </c>
      <c r="AM293" s="82" t="str">
        <f t="shared" si="143"/>
        <v>-</v>
      </c>
      <c r="AN293" s="82" t="str">
        <f t="shared" si="144"/>
        <v>-</v>
      </c>
      <c r="AO293" s="82" t="str">
        <f t="shared" si="145"/>
        <v>-</v>
      </c>
      <c r="AP293" s="57" t="str">
        <f t="shared" si="146"/>
        <v>-</v>
      </c>
      <c r="AQ293" s="86" t="str">
        <f t="shared" si="147"/>
        <v>-</v>
      </c>
      <c r="AR293" s="86" t="str">
        <f>IF(N293="","PRIMER_DIA en blanco",
IF(AND(M293="01",N293&gt;=L_Conversion!$C$118,N293&lt;=L_Conversion!$D$118),"-",
IF(AND(M293="02",N293&gt;=L_Conversion!$C$119,N293&lt;=L_Conversion!$D$119),"-",
IF(AND(M293="03",N293&gt;=L_Conversion!$C$120,N293&lt;=L_Conversion!$D$120),"-",
IF(AND(M293="04",N293&gt;=L_Conversion!$C$121,N293&lt;=L_Conversion!$D$121),"-",
IF(AND(M293="05",N293&gt;=L_Conversion!$C$122,N293&lt;=L_Conversion!$D$122),"-",
IF(AND(M293="06",N293&gt;=L_Conversion!$C$123,N293&lt;=L_Conversion!$D$123),"-",
IF(AND(M293="07",N293&gt;=L_Conversion!$C$124,N293&lt;=L_Conversion!$D$124),"-",
IF(AND(M293="08",N293&gt;=L_Conversion!$C$125,N293&lt;=L_Conversion!$D$125),"-",
IF(AND(M293="09",N293&gt;=L_Conversion!$C$126,N293&lt;=L_Conversion!$D$126),"-",
IF(AND(M293="10",N293&gt;=L_Conversion!$C$127,N293&lt;=L_Conversion!$D$127),"-",
IF(AND(M293="11",N293&gt;=L_Conversion!$C$128,N293&lt;=L_Conversion!$D$128),"-",
IF(AND(M293="12",N293&gt;=L_Conversion!$C$129,N293&lt;=L_Conversion!$D$129),"-",
IF(AND(M293="13",N293&gt;=L_Conversion!$C$116,N293&lt;=L_Conversion!$D$116),"-",
IF(AND(M293="14",N293&gt;=L_Conversion!$C$117,N293&lt;=L_Conversion!$D$117),"-",
"PRIMER_DIA fuera de rango")))))))))))))))</f>
        <v>-</v>
      </c>
      <c r="AS293" s="86" t="str">
        <f t="shared" si="148"/>
        <v>-</v>
      </c>
      <c r="AT293" s="86" t="str">
        <f t="shared" si="149"/>
        <v>-</v>
      </c>
      <c r="AU293" s="86" t="str">
        <f t="shared" si="150"/>
        <v>-</v>
      </c>
      <c r="AV293" s="86" t="str">
        <f t="shared" si="151"/>
        <v>-</v>
      </c>
      <c r="AW293" s="86" t="str">
        <f t="shared" si="152"/>
        <v>-</v>
      </c>
      <c r="AX293" s="86" t="str">
        <f t="shared" si="153"/>
        <v>-</v>
      </c>
      <c r="AY293" s="86" t="str">
        <f t="shared" si="154"/>
        <v>-</v>
      </c>
      <c r="AZ293" s="86" t="str">
        <f t="shared" si="155"/>
        <v>-</v>
      </c>
      <c r="BA293" s="86" t="str">
        <f t="shared" si="156"/>
        <v>-</v>
      </c>
      <c r="BB293" s="86" t="str">
        <f t="shared" si="157"/>
        <v>-</v>
      </c>
      <c r="BC293" s="86" t="str">
        <f t="shared" si="158"/>
        <v>-</v>
      </c>
      <c r="BD293" s="86" t="str">
        <f t="shared" si="159"/>
        <v>-</v>
      </c>
      <c r="BE293" s="86" t="str">
        <f t="shared" si="160"/>
        <v>-</v>
      </c>
      <c r="BF293" s="86" t="str">
        <f t="shared" si="161"/>
        <v>-</v>
      </c>
    </row>
    <row r="294" spans="1:58" x14ac:dyDescent="0.2">
      <c r="A294" s="19" t="s">
        <v>1144</v>
      </c>
      <c r="B294" s="19" t="s">
        <v>76</v>
      </c>
      <c r="C294" s="19">
        <v>8649147</v>
      </c>
      <c r="D294" s="81">
        <v>8</v>
      </c>
      <c r="E294" s="19" t="s">
        <v>1357</v>
      </c>
      <c r="F294" s="19" t="s">
        <v>1502</v>
      </c>
      <c r="G294" s="19" t="s">
        <v>1503</v>
      </c>
      <c r="H294" s="19" t="s">
        <v>1033</v>
      </c>
      <c r="I294" s="19" t="s">
        <v>662</v>
      </c>
      <c r="J294" s="19">
        <v>60</v>
      </c>
      <c r="K294" s="19" t="s">
        <v>567</v>
      </c>
      <c r="L294" s="19" t="s">
        <v>497</v>
      </c>
      <c r="M294" s="19" t="s">
        <v>16</v>
      </c>
      <c r="N294" s="19">
        <v>45734</v>
      </c>
      <c r="O294" s="19">
        <v>2</v>
      </c>
      <c r="P294" s="81">
        <v>1</v>
      </c>
      <c r="Q294" s="19" t="s">
        <v>23</v>
      </c>
      <c r="R294" s="19" t="s">
        <v>11</v>
      </c>
      <c r="S294" s="19" t="s">
        <v>23</v>
      </c>
      <c r="T294" s="19">
        <v>2</v>
      </c>
      <c r="U294" s="19" t="s">
        <v>11</v>
      </c>
      <c r="V294" s="19" t="s">
        <v>19</v>
      </c>
      <c r="W294" s="19" t="s">
        <v>19</v>
      </c>
      <c r="X294" s="19">
        <v>30033</v>
      </c>
      <c r="Y294" s="19" t="s">
        <v>735</v>
      </c>
      <c r="Z294" s="19">
        <v>2</v>
      </c>
      <c r="AA294" s="19">
        <v>30033</v>
      </c>
      <c r="AB294" s="19">
        <v>30033</v>
      </c>
      <c r="AC294" s="178" t="str">
        <f>IF(OR(M294="13",M294="14",P294=8),"",IF(AND(OR(S294="AUTORIZADO", S294="PENDIENTE", S294="REDUCIDO", S294="AMPLIADO"),L294&lt;&gt;"HONORARIO" ), CONCATENATE(IF(H294="X","H",H294),"_",IF(OR(P294=5,P294=6),_xlfn.CONCAT(P294,"A"),P294),"_",VLOOKUP(T294,Datos!$B$2:$C$5,2,TRUE)),""))</f>
        <v>M_1_[hasta 3]</v>
      </c>
      <c r="AD294" s="178">
        <f t="shared" si="135"/>
        <v>60066</v>
      </c>
      <c r="AE294" s="82" t="str">
        <f t="shared" si="136"/>
        <v>-</v>
      </c>
      <c r="AF294" s="83" t="str">
        <f t="shared" si="137"/>
        <v>070601</v>
      </c>
      <c r="AG294" s="84"/>
      <c r="AH294" s="85" t="str">
        <f t="shared" si="138"/>
        <v>Corporación de Fomento de la Producción</v>
      </c>
      <c r="AI294" s="82" t="str">
        <f t="shared" si="139"/>
        <v>-</v>
      </c>
      <c r="AJ294" s="82">
        <f t="shared" si="140"/>
        <v>8</v>
      </c>
      <c r="AK294" s="82" t="str">
        <f t="shared" si="141"/>
        <v>-</v>
      </c>
      <c r="AL294" s="82" t="str">
        <f t="shared" si="142"/>
        <v>Identifica este registro como MUJER</v>
      </c>
      <c r="AM294" s="82" t="str">
        <f t="shared" si="143"/>
        <v>-</v>
      </c>
      <c r="AN294" s="82" t="str">
        <f t="shared" si="144"/>
        <v>-</v>
      </c>
      <c r="AO294" s="82" t="str">
        <f t="shared" si="145"/>
        <v>-</v>
      </c>
      <c r="AP294" s="57" t="str">
        <f t="shared" si="146"/>
        <v>-</v>
      </c>
      <c r="AQ294" s="86" t="str">
        <f t="shared" si="147"/>
        <v>-</v>
      </c>
      <c r="AR294" s="86" t="str">
        <f>IF(N294="","PRIMER_DIA en blanco",
IF(AND(M294="01",N294&gt;=L_Conversion!$C$118,N294&lt;=L_Conversion!$D$118),"-",
IF(AND(M294="02",N294&gt;=L_Conversion!$C$119,N294&lt;=L_Conversion!$D$119),"-",
IF(AND(M294="03",N294&gt;=L_Conversion!$C$120,N294&lt;=L_Conversion!$D$120),"-",
IF(AND(M294="04",N294&gt;=L_Conversion!$C$121,N294&lt;=L_Conversion!$D$121),"-",
IF(AND(M294="05",N294&gt;=L_Conversion!$C$122,N294&lt;=L_Conversion!$D$122),"-",
IF(AND(M294="06",N294&gt;=L_Conversion!$C$123,N294&lt;=L_Conversion!$D$123),"-",
IF(AND(M294="07",N294&gt;=L_Conversion!$C$124,N294&lt;=L_Conversion!$D$124),"-",
IF(AND(M294="08",N294&gt;=L_Conversion!$C$125,N294&lt;=L_Conversion!$D$125),"-",
IF(AND(M294="09",N294&gt;=L_Conversion!$C$126,N294&lt;=L_Conversion!$D$126),"-",
IF(AND(M294="10",N294&gt;=L_Conversion!$C$127,N294&lt;=L_Conversion!$D$127),"-",
IF(AND(M294="11",N294&gt;=L_Conversion!$C$128,N294&lt;=L_Conversion!$D$128),"-",
IF(AND(M294="12",N294&gt;=L_Conversion!$C$129,N294&lt;=L_Conversion!$D$129),"-",
IF(AND(M294="13",N294&gt;=L_Conversion!$C$116,N294&lt;=L_Conversion!$D$116),"-",
IF(AND(M294="14",N294&gt;=L_Conversion!$C$117,N294&lt;=L_Conversion!$D$117),"-",
"PRIMER_DIA fuera de rango")))))))))))))))</f>
        <v>-</v>
      </c>
      <c r="AS294" s="86" t="str">
        <f t="shared" si="148"/>
        <v>-</v>
      </c>
      <c r="AT294" s="86" t="str">
        <f t="shared" si="149"/>
        <v>-</v>
      </c>
      <c r="AU294" s="86" t="str">
        <f t="shared" si="150"/>
        <v>-</v>
      </c>
      <c r="AV294" s="86" t="str">
        <f t="shared" si="151"/>
        <v>-</v>
      </c>
      <c r="AW294" s="86" t="str">
        <f t="shared" si="152"/>
        <v>-</v>
      </c>
      <c r="AX294" s="86" t="str">
        <f t="shared" si="153"/>
        <v>-</v>
      </c>
      <c r="AY294" s="86" t="str">
        <f t="shared" si="154"/>
        <v>-</v>
      </c>
      <c r="AZ294" s="86" t="str">
        <f t="shared" si="155"/>
        <v>-</v>
      </c>
      <c r="BA294" s="86" t="str">
        <f t="shared" si="156"/>
        <v>-</v>
      </c>
      <c r="BB294" s="86" t="str">
        <f t="shared" si="157"/>
        <v>-</v>
      </c>
      <c r="BC294" s="86" t="str">
        <f t="shared" si="158"/>
        <v>-</v>
      </c>
      <c r="BD294" s="86" t="str">
        <f t="shared" si="159"/>
        <v>-</v>
      </c>
      <c r="BE294" s="86" t="str">
        <f t="shared" si="160"/>
        <v>-</v>
      </c>
      <c r="BF294" s="86" t="str">
        <f t="shared" si="161"/>
        <v>-</v>
      </c>
    </row>
    <row r="295" spans="1:58" x14ac:dyDescent="0.2">
      <c r="A295" s="19" t="s">
        <v>1144</v>
      </c>
      <c r="B295" s="19" t="s">
        <v>76</v>
      </c>
      <c r="C295" s="19">
        <v>13243945</v>
      </c>
      <c r="D295" s="81">
        <v>1</v>
      </c>
      <c r="E295" s="19" t="s">
        <v>1611</v>
      </c>
      <c r="F295" s="19" t="s">
        <v>1612</v>
      </c>
      <c r="G295" s="19" t="s">
        <v>1613</v>
      </c>
      <c r="H295" s="19" t="s">
        <v>663</v>
      </c>
      <c r="I295" s="19" t="s">
        <v>662</v>
      </c>
      <c r="J295" s="19">
        <v>80</v>
      </c>
      <c r="K295" s="19" t="s">
        <v>563</v>
      </c>
      <c r="L295" s="19" t="s">
        <v>502</v>
      </c>
      <c r="M295" s="19" t="s">
        <v>16</v>
      </c>
      <c r="N295" s="19">
        <v>45735</v>
      </c>
      <c r="O295" s="19">
        <v>3</v>
      </c>
      <c r="P295" s="81">
        <v>1</v>
      </c>
      <c r="Q295" s="19" t="s">
        <v>23</v>
      </c>
      <c r="R295" s="19" t="s">
        <v>11</v>
      </c>
      <c r="S295" s="19" t="s">
        <v>23</v>
      </c>
      <c r="T295" s="19">
        <v>3</v>
      </c>
      <c r="U295" s="19" t="s">
        <v>11</v>
      </c>
      <c r="V295" s="19" t="s">
        <v>19</v>
      </c>
      <c r="W295" s="19" t="s">
        <v>19</v>
      </c>
      <c r="X295" s="19">
        <v>66978</v>
      </c>
      <c r="Y295" s="19" t="s">
        <v>735</v>
      </c>
      <c r="Z295" s="19">
        <v>3</v>
      </c>
      <c r="AA295" s="19">
        <v>66978</v>
      </c>
      <c r="AB295" s="19">
        <v>66978</v>
      </c>
      <c r="AC295" s="178" t="str">
        <f>IF(OR(M295="13",M295="14",P295=8),"",IF(AND(OR(S295="AUTORIZADO", S295="PENDIENTE", S295="REDUCIDO", S295="AMPLIADO"),L295&lt;&gt;"HONORARIO" ), CONCATENATE(IF(H295="X","H",H295),"_",IF(OR(P295=5,P295=6),_xlfn.CONCAT(P295,"A"),P295),"_",VLOOKUP(T295,Datos!$B$2:$C$5,2,TRUE)),""))</f>
        <v>H_1_[hasta 3]</v>
      </c>
      <c r="AD295" s="178">
        <f t="shared" si="135"/>
        <v>133956</v>
      </c>
      <c r="AE295" s="82" t="str">
        <f t="shared" si="136"/>
        <v>-</v>
      </c>
      <c r="AF295" s="83" t="str">
        <f t="shared" si="137"/>
        <v>070601</v>
      </c>
      <c r="AG295" s="84"/>
      <c r="AH295" s="85" t="str">
        <f t="shared" si="138"/>
        <v>Corporación de Fomento de la Producción</v>
      </c>
      <c r="AI295" s="82" t="str">
        <f t="shared" si="139"/>
        <v>-</v>
      </c>
      <c r="AJ295" s="82">
        <f t="shared" si="140"/>
        <v>1</v>
      </c>
      <c r="AK295" s="82" t="str">
        <f t="shared" si="141"/>
        <v>-</v>
      </c>
      <c r="AL295" s="82" t="str">
        <f t="shared" si="142"/>
        <v>Identifica este registro como HOMBRE</v>
      </c>
      <c r="AM295" s="82" t="str">
        <f t="shared" si="143"/>
        <v>-</v>
      </c>
      <c r="AN295" s="82" t="str">
        <f t="shared" si="144"/>
        <v>-</v>
      </c>
      <c r="AO295" s="82" t="str">
        <f t="shared" si="145"/>
        <v>-</v>
      </c>
      <c r="AP295" s="57" t="str">
        <f t="shared" si="146"/>
        <v>-</v>
      </c>
      <c r="AQ295" s="86" t="str">
        <f t="shared" si="147"/>
        <v>-</v>
      </c>
      <c r="AR295" s="86" t="str">
        <f>IF(N295="","PRIMER_DIA en blanco",
IF(AND(M295="01",N295&gt;=L_Conversion!$C$118,N295&lt;=L_Conversion!$D$118),"-",
IF(AND(M295="02",N295&gt;=L_Conversion!$C$119,N295&lt;=L_Conversion!$D$119),"-",
IF(AND(M295="03",N295&gt;=L_Conversion!$C$120,N295&lt;=L_Conversion!$D$120),"-",
IF(AND(M295="04",N295&gt;=L_Conversion!$C$121,N295&lt;=L_Conversion!$D$121),"-",
IF(AND(M295="05",N295&gt;=L_Conversion!$C$122,N295&lt;=L_Conversion!$D$122),"-",
IF(AND(M295="06",N295&gt;=L_Conversion!$C$123,N295&lt;=L_Conversion!$D$123),"-",
IF(AND(M295="07",N295&gt;=L_Conversion!$C$124,N295&lt;=L_Conversion!$D$124),"-",
IF(AND(M295="08",N295&gt;=L_Conversion!$C$125,N295&lt;=L_Conversion!$D$125),"-",
IF(AND(M295="09",N295&gt;=L_Conversion!$C$126,N295&lt;=L_Conversion!$D$126),"-",
IF(AND(M295="10",N295&gt;=L_Conversion!$C$127,N295&lt;=L_Conversion!$D$127),"-",
IF(AND(M295="11",N295&gt;=L_Conversion!$C$128,N295&lt;=L_Conversion!$D$128),"-",
IF(AND(M295="12",N295&gt;=L_Conversion!$C$129,N295&lt;=L_Conversion!$D$129),"-",
IF(AND(M295="13",N295&gt;=L_Conversion!$C$116,N295&lt;=L_Conversion!$D$116),"-",
IF(AND(M295="14",N295&gt;=L_Conversion!$C$117,N295&lt;=L_Conversion!$D$117),"-",
"PRIMER_DIA fuera de rango")))))))))))))))</f>
        <v>-</v>
      </c>
      <c r="AS295" s="86" t="str">
        <f t="shared" si="148"/>
        <v>-</v>
      </c>
      <c r="AT295" s="86" t="str">
        <f t="shared" si="149"/>
        <v>-</v>
      </c>
      <c r="AU295" s="86" t="str">
        <f t="shared" si="150"/>
        <v>-</v>
      </c>
      <c r="AV295" s="86" t="str">
        <f t="shared" si="151"/>
        <v>-</v>
      </c>
      <c r="AW295" s="86" t="str">
        <f t="shared" si="152"/>
        <v>-</v>
      </c>
      <c r="AX295" s="86" t="str">
        <f t="shared" si="153"/>
        <v>-</v>
      </c>
      <c r="AY295" s="86" t="str">
        <f t="shared" si="154"/>
        <v>-</v>
      </c>
      <c r="AZ295" s="86" t="str">
        <f t="shared" si="155"/>
        <v>-</v>
      </c>
      <c r="BA295" s="86" t="str">
        <f t="shared" si="156"/>
        <v>-</v>
      </c>
      <c r="BB295" s="86" t="str">
        <f t="shared" si="157"/>
        <v>-</v>
      </c>
      <c r="BC295" s="86" t="str">
        <f t="shared" si="158"/>
        <v>-</v>
      </c>
      <c r="BD295" s="86" t="str">
        <f t="shared" si="159"/>
        <v>-</v>
      </c>
      <c r="BE295" s="86" t="str">
        <f t="shared" si="160"/>
        <v>-</v>
      </c>
      <c r="BF295" s="86" t="str">
        <f t="shared" si="161"/>
        <v>-</v>
      </c>
    </row>
    <row r="296" spans="1:58" x14ac:dyDescent="0.2">
      <c r="A296" s="19" t="s">
        <v>1144</v>
      </c>
      <c r="B296" s="19" t="s">
        <v>76</v>
      </c>
      <c r="C296" s="19">
        <v>13913709</v>
      </c>
      <c r="D296" s="81">
        <v>4</v>
      </c>
      <c r="E296" s="19" t="s">
        <v>1229</v>
      </c>
      <c r="F296" s="19" t="s">
        <v>1242</v>
      </c>
      <c r="G296" s="19" t="s">
        <v>1604</v>
      </c>
      <c r="H296" s="19" t="s">
        <v>1033</v>
      </c>
      <c r="I296" s="19" t="s">
        <v>662</v>
      </c>
      <c r="J296" s="19">
        <v>80</v>
      </c>
      <c r="K296" s="19" t="s">
        <v>569</v>
      </c>
      <c r="L296" s="19" t="s">
        <v>502</v>
      </c>
      <c r="M296" s="19" t="s">
        <v>16</v>
      </c>
      <c r="N296" s="19">
        <v>45735</v>
      </c>
      <c r="O296" s="19">
        <v>3</v>
      </c>
      <c r="P296" s="81">
        <v>1</v>
      </c>
      <c r="Q296" s="19" t="s">
        <v>23</v>
      </c>
      <c r="R296" s="19" t="s">
        <v>11</v>
      </c>
      <c r="S296" s="19" t="s">
        <v>23</v>
      </c>
      <c r="T296" s="19">
        <v>3</v>
      </c>
      <c r="U296" s="19" t="s">
        <v>11</v>
      </c>
      <c r="V296" s="19" t="s">
        <v>19</v>
      </c>
      <c r="W296" s="19" t="s">
        <v>19</v>
      </c>
      <c r="X296" s="19">
        <v>19997</v>
      </c>
      <c r="Y296" s="19" t="s">
        <v>735</v>
      </c>
      <c r="Z296" s="19">
        <v>3</v>
      </c>
      <c r="AA296" s="19">
        <v>19997</v>
      </c>
      <c r="AB296" s="19">
        <v>19997</v>
      </c>
      <c r="AC296" s="178" t="str">
        <f>IF(OR(M296="13",M296="14",P296=8),"",IF(AND(OR(S296="AUTORIZADO", S296="PENDIENTE", S296="REDUCIDO", S296="AMPLIADO"),L296&lt;&gt;"HONORARIO" ), CONCATENATE(IF(H296="X","H",H296),"_",IF(OR(P296=5,P296=6),_xlfn.CONCAT(P296,"A"),P296),"_",VLOOKUP(T296,Datos!$B$2:$C$5,2,TRUE)),""))</f>
        <v>M_1_[hasta 3]</v>
      </c>
      <c r="AD296" s="178">
        <f t="shared" si="135"/>
        <v>39994</v>
      </c>
      <c r="AE296" s="82" t="str">
        <f t="shared" si="136"/>
        <v>-</v>
      </c>
      <c r="AF296" s="83" t="str">
        <f t="shared" si="137"/>
        <v>070601</v>
      </c>
      <c r="AG296" s="84"/>
      <c r="AH296" s="85" t="str">
        <f t="shared" si="138"/>
        <v>Corporación de Fomento de la Producción</v>
      </c>
      <c r="AI296" s="82" t="str">
        <f t="shared" si="139"/>
        <v>-</v>
      </c>
      <c r="AJ296" s="82">
        <f t="shared" si="140"/>
        <v>4</v>
      </c>
      <c r="AK296" s="82" t="str">
        <f t="shared" si="141"/>
        <v>-</v>
      </c>
      <c r="AL296" s="82" t="str">
        <f t="shared" si="142"/>
        <v>Identifica este registro como MUJER</v>
      </c>
      <c r="AM296" s="82" t="str">
        <f t="shared" si="143"/>
        <v>-</v>
      </c>
      <c r="AN296" s="82" t="str">
        <f t="shared" si="144"/>
        <v>-</v>
      </c>
      <c r="AO296" s="82" t="str">
        <f t="shared" si="145"/>
        <v>-</v>
      </c>
      <c r="AP296" s="57" t="str">
        <f t="shared" si="146"/>
        <v>-</v>
      </c>
      <c r="AQ296" s="86" t="str">
        <f t="shared" si="147"/>
        <v>-</v>
      </c>
      <c r="AR296" s="86" t="str">
        <f>IF(N296="","PRIMER_DIA en blanco",
IF(AND(M296="01",N296&gt;=L_Conversion!$C$118,N296&lt;=L_Conversion!$D$118),"-",
IF(AND(M296="02",N296&gt;=L_Conversion!$C$119,N296&lt;=L_Conversion!$D$119),"-",
IF(AND(M296="03",N296&gt;=L_Conversion!$C$120,N296&lt;=L_Conversion!$D$120),"-",
IF(AND(M296="04",N296&gt;=L_Conversion!$C$121,N296&lt;=L_Conversion!$D$121),"-",
IF(AND(M296="05",N296&gt;=L_Conversion!$C$122,N296&lt;=L_Conversion!$D$122),"-",
IF(AND(M296="06",N296&gt;=L_Conversion!$C$123,N296&lt;=L_Conversion!$D$123),"-",
IF(AND(M296="07",N296&gt;=L_Conversion!$C$124,N296&lt;=L_Conversion!$D$124),"-",
IF(AND(M296="08",N296&gt;=L_Conversion!$C$125,N296&lt;=L_Conversion!$D$125),"-",
IF(AND(M296="09",N296&gt;=L_Conversion!$C$126,N296&lt;=L_Conversion!$D$126),"-",
IF(AND(M296="10",N296&gt;=L_Conversion!$C$127,N296&lt;=L_Conversion!$D$127),"-",
IF(AND(M296="11",N296&gt;=L_Conversion!$C$128,N296&lt;=L_Conversion!$D$128),"-",
IF(AND(M296="12",N296&gt;=L_Conversion!$C$129,N296&lt;=L_Conversion!$D$129),"-",
IF(AND(M296="13",N296&gt;=L_Conversion!$C$116,N296&lt;=L_Conversion!$D$116),"-",
IF(AND(M296="14",N296&gt;=L_Conversion!$C$117,N296&lt;=L_Conversion!$D$117),"-",
"PRIMER_DIA fuera de rango")))))))))))))))</f>
        <v>-</v>
      </c>
      <c r="AS296" s="86" t="str">
        <f t="shared" si="148"/>
        <v>-</v>
      </c>
      <c r="AT296" s="86" t="str">
        <f t="shared" si="149"/>
        <v>-</v>
      </c>
      <c r="AU296" s="86" t="str">
        <f t="shared" si="150"/>
        <v>-</v>
      </c>
      <c r="AV296" s="86" t="str">
        <f t="shared" si="151"/>
        <v>-</v>
      </c>
      <c r="AW296" s="86" t="str">
        <f t="shared" si="152"/>
        <v>-</v>
      </c>
      <c r="AX296" s="86" t="str">
        <f t="shared" si="153"/>
        <v>-</v>
      </c>
      <c r="AY296" s="86" t="str">
        <f t="shared" si="154"/>
        <v>-</v>
      </c>
      <c r="AZ296" s="86" t="str">
        <f t="shared" si="155"/>
        <v>-</v>
      </c>
      <c r="BA296" s="86" t="str">
        <f t="shared" si="156"/>
        <v>-</v>
      </c>
      <c r="BB296" s="86" t="str">
        <f t="shared" si="157"/>
        <v>-</v>
      </c>
      <c r="BC296" s="86" t="str">
        <f t="shared" si="158"/>
        <v>-</v>
      </c>
      <c r="BD296" s="86" t="str">
        <f t="shared" si="159"/>
        <v>-</v>
      </c>
      <c r="BE296" s="86" t="str">
        <f t="shared" si="160"/>
        <v>-</v>
      </c>
      <c r="BF296" s="86" t="str">
        <f t="shared" si="161"/>
        <v>-</v>
      </c>
    </row>
    <row r="297" spans="1:58" x14ac:dyDescent="0.2">
      <c r="A297" s="19" t="s">
        <v>1144</v>
      </c>
      <c r="B297" s="19" t="s">
        <v>675</v>
      </c>
      <c r="C297" s="19">
        <v>17702868</v>
      </c>
      <c r="D297" s="81">
        <v>1</v>
      </c>
      <c r="E297" s="19" t="s">
        <v>1146</v>
      </c>
      <c r="F297" s="19" t="s">
        <v>1614</v>
      </c>
      <c r="G297" s="19" t="s">
        <v>1615</v>
      </c>
      <c r="H297" s="19" t="s">
        <v>1033</v>
      </c>
      <c r="I297" s="19" t="s">
        <v>663</v>
      </c>
      <c r="J297" s="19">
        <v>80</v>
      </c>
      <c r="K297" s="19" t="s">
        <v>561</v>
      </c>
      <c r="L297" s="19" t="s">
        <v>516</v>
      </c>
      <c r="M297" s="19" t="s">
        <v>16</v>
      </c>
      <c r="N297" s="19">
        <v>45735</v>
      </c>
      <c r="O297" s="19">
        <v>2</v>
      </c>
      <c r="P297" s="81">
        <v>1</v>
      </c>
      <c r="Q297" s="19" t="s">
        <v>23</v>
      </c>
      <c r="R297" s="19" t="s">
        <v>11</v>
      </c>
      <c r="S297" s="19" t="s">
        <v>23</v>
      </c>
      <c r="T297" s="19">
        <v>2</v>
      </c>
      <c r="U297" s="19" t="s">
        <v>11</v>
      </c>
      <c r="V297" s="19" t="s">
        <v>19</v>
      </c>
      <c r="W297" s="19" t="s">
        <v>19</v>
      </c>
      <c r="X297" s="19">
        <v>43096</v>
      </c>
      <c r="Y297" s="19" t="s">
        <v>735</v>
      </c>
      <c r="Z297" s="19">
        <v>2</v>
      </c>
      <c r="AA297" s="19">
        <v>43096</v>
      </c>
      <c r="AB297" s="19">
        <v>43096</v>
      </c>
      <c r="AC297" s="178" t="str">
        <f>IF(OR(M297="13",M297="14",P297=8),"",IF(AND(OR(S297="AUTORIZADO", S297="PENDIENTE", S297="REDUCIDO", S297="AMPLIADO"),L297&lt;&gt;"HONORARIO" ), CONCATENATE(IF(H297="X","H",H297),"_",IF(OR(P297=5,P297=6),_xlfn.CONCAT(P297,"A"),P297),"_",VLOOKUP(T297,Datos!$B$2:$C$5,2,TRUE)),""))</f>
        <v>M_1_[hasta 3]</v>
      </c>
      <c r="AD297" s="178">
        <f t="shared" si="135"/>
        <v>86192</v>
      </c>
      <c r="AE297" s="82" t="str">
        <f t="shared" si="136"/>
        <v>-</v>
      </c>
      <c r="AF297" s="83" t="str">
        <f t="shared" si="137"/>
        <v>Revisar</v>
      </c>
      <c r="AG297" s="84"/>
      <c r="AH297" s="85" t="str">
        <f t="shared" si="138"/>
        <v>Corporación de Fomento de la Producción</v>
      </c>
      <c r="AI297" s="82" t="str">
        <f t="shared" si="139"/>
        <v>-</v>
      </c>
      <c r="AJ297" s="82">
        <f t="shared" si="140"/>
        <v>1</v>
      </c>
      <c r="AK297" s="82" t="str">
        <f t="shared" si="141"/>
        <v>-</v>
      </c>
      <c r="AL297" s="82" t="str">
        <f t="shared" si="142"/>
        <v>Identifica este registro como MUJER</v>
      </c>
      <c r="AM297" s="82" t="str">
        <f t="shared" si="143"/>
        <v>-</v>
      </c>
      <c r="AN297" s="82" t="str">
        <f t="shared" si="144"/>
        <v>-</v>
      </c>
      <c r="AO297" s="82" t="str">
        <f t="shared" si="145"/>
        <v>-</v>
      </c>
      <c r="AP297" s="57" t="str">
        <f t="shared" si="146"/>
        <v>-</v>
      </c>
      <c r="AQ297" s="86" t="str">
        <f t="shared" si="147"/>
        <v>-</v>
      </c>
      <c r="AR297" s="86" t="str">
        <f>IF(N297="","PRIMER_DIA en blanco",
IF(AND(M297="01",N297&gt;=L_Conversion!$C$118,N297&lt;=L_Conversion!$D$118),"-",
IF(AND(M297="02",N297&gt;=L_Conversion!$C$119,N297&lt;=L_Conversion!$D$119),"-",
IF(AND(M297="03",N297&gt;=L_Conversion!$C$120,N297&lt;=L_Conversion!$D$120),"-",
IF(AND(M297="04",N297&gt;=L_Conversion!$C$121,N297&lt;=L_Conversion!$D$121),"-",
IF(AND(M297="05",N297&gt;=L_Conversion!$C$122,N297&lt;=L_Conversion!$D$122),"-",
IF(AND(M297="06",N297&gt;=L_Conversion!$C$123,N297&lt;=L_Conversion!$D$123),"-",
IF(AND(M297="07",N297&gt;=L_Conversion!$C$124,N297&lt;=L_Conversion!$D$124),"-",
IF(AND(M297="08",N297&gt;=L_Conversion!$C$125,N297&lt;=L_Conversion!$D$125),"-",
IF(AND(M297="09",N297&gt;=L_Conversion!$C$126,N297&lt;=L_Conversion!$D$126),"-",
IF(AND(M297="10",N297&gt;=L_Conversion!$C$127,N297&lt;=L_Conversion!$D$127),"-",
IF(AND(M297="11",N297&gt;=L_Conversion!$C$128,N297&lt;=L_Conversion!$D$128),"-",
IF(AND(M297="12",N297&gt;=L_Conversion!$C$129,N297&lt;=L_Conversion!$D$129),"-",
IF(AND(M297="13",N297&gt;=L_Conversion!$C$116,N297&lt;=L_Conversion!$D$116),"-",
IF(AND(M297="14",N297&gt;=L_Conversion!$C$117,N297&lt;=L_Conversion!$D$117),"-",
"PRIMER_DIA fuera de rango")))))))))))))))</f>
        <v>-</v>
      </c>
      <c r="AS297" s="86" t="str">
        <f t="shared" si="148"/>
        <v>-</v>
      </c>
      <c r="AT297" s="86" t="str">
        <f t="shared" si="149"/>
        <v>-</v>
      </c>
      <c r="AU297" s="86" t="str">
        <f t="shared" si="150"/>
        <v>-</v>
      </c>
      <c r="AV297" s="86" t="str">
        <f t="shared" si="151"/>
        <v>-</v>
      </c>
      <c r="AW297" s="86" t="str">
        <f t="shared" si="152"/>
        <v>-</v>
      </c>
      <c r="AX297" s="86" t="str">
        <f t="shared" si="153"/>
        <v>-</v>
      </c>
      <c r="AY297" s="86" t="str">
        <f t="shared" si="154"/>
        <v>-</v>
      </c>
      <c r="AZ297" s="86" t="str">
        <f t="shared" si="155"/>
        <v>-</v>
      </c>
      <c r="BA297" s="86" t="str">
        <f t="shared" si="156"/>
        <v>-</v>
      </c>
      <c r="BB297" s="86" t="str">
        <f t="shared" si="157"/>
        <v>-</v>
      </c>
      <c r="BC297" s="86" t="str">
        <f t="shared" si="158"/>
        <v>-</v>
      </c>
      <c r="BD297" s="86" t="str">
        <f t="shared" si="159"/>
        <v>-</v>
      </c>
      <c r="BE297" s="86" t="str">
        <f t="shared" si="160"/>
        <v>-</v>
      </c>
      <c r="BF297" s="86" t="str">
        <f t="shared" si="161"/>
        <v>-</v>
      </c>
    </row>
    <row r="298" spans="1:58" x14ac:dyDescent="0.2">
      <c r="A298" s="19" t="s">
        <v>1144</v>
      </c>
      <c r="B298" s="19" t="s">
        <v>76</v>
      </c>
      <c r="C298" s="19">
        <v>12849139</v>
      </c>
      <c r="D298" s="81">
        <v>2</v>
      </c>
      <c r="E298" s="19" t="s">
        <v>1616</v>
      </c>
      <c r="F298" s="19" t="s">
        <v>1516</v>
      </c>
      <c r="G298" s="19" t="s">
        <v>1617</v>
      </c>
      <c r="H298" s="19" t="s">
        <v>1033</v>
      </c>
      <c r="I298" s="19" t="s">
        <v>662</v>
      </c>
      <c r="J298" s="19">
        <v>80</v>
      </c>
      <c r="K298" s="19" t="s">
        <v>563</v>
      </c>
      <c r="L298" s="19" t="s">
        <v>502</v>
      </c>
      <c r="M298" s="19" t="s">
        <v>16</v>
      </c>
      <c r="N298" s="19">
        <v>45735</v>
      </c>
      <c r="O298" s="19">
        <v>3</v>
      </c>
      <c r="P298" s="81">
        <v>1</v>
      </c>
      <c r="Q298" s="19" t="s">
        <v>23</v>
      </c>
      <c r="R298" s="19" t="s">
        <v>11</v>
      </c>
      <c r="S298" s="19" t="s">
        <v>23</v>
      </c>
      <c r="T298" s="19">
        <v>3</v>
      </c>
      <c r="U298" s="19" t="s">
        <v>11</v>
      </c>
      <c r="V298" s="19" t="s">
        <v>19</v>
      </c>
      <c r="W298" s="19" t="s">
        <v>19</v>
      </c>
      <c r="X298" s="19">
        <v>71658</v>
      </c>
      <c r="Y298" s="19" t="s">
        <v>735</v>
      </c>
      <c r="Z298" s="19">
        <v>3</v>
      </c>
      <c r="AA298" s="19">
        <v>71658</v>
      </c>
      <c r="AB298" s="19">
        <v>71658</v>
      </c>
      <c r="AC298" s="178" t="str">
        <f>IF(OR(M298="13",M298="14",P298=8),"",IF(AND(OR(S298="AUTORIZADO", S298="PENDIENTE", S298="REDUCIDO", S298="AMPLIADO"),L298&lt;&gt;"HONORARIO" ), CONCATENATE(IF(H298="X","H",H298),"_",IF(OR(P298=5,P298=6),_xlfn.CONCAT(P298,"A"),P298),"_",VLOOKUP(T298,Datos!$B$2:$C$5,2,TRUE)),""))</f>
        <v>M_1_[hasta 3]</v>
      </c>
      <c r="AD298" s="178">
        <f t="shared" si="135"/>
        <v>143316</v>
      </c>
      <c r="AE298" s="82" t="str">
        <f t="shared" si="136"/>
        <v>-</v>
      </c>
      <c r="AF298" s="83" t="str">
        <f t="shared" si="137"/>
        <v>070601</v>
      </c>
      <c r="AG298" s="84"/>
      <c r="AH298" s="85" t="str">
        <f t="shared" si="138"/>
        <v>Corporación de Fomento de la Producción</v>
      </c>
      <c r="AI298" s="82" t="str">
        <f t="shared" si="139"/>
        <v>-</v>
      </c>
      <c r="AJ298" s="82">
        <f t="shared" si="140"/>
        <v>2</v>
      </c>
      <c r="AK298" s="82" t="str">
        <f t="shared" si="141"/>
        <v>-</v>
      </c>
      <c r="AL298" s="82" t="str">
        <f t="shared" si="142"/>
        <v>Identifica este registro como MUJER</v>
      </c>
      <c r="AM298" s="82" t="str">
        <f t="shared" si="143"/>
        <v>-</v>
      </c>
      <c r="AN298" s="82" t="str">
        <f t="shared" si="144"/>
        <v>-</v>
      </c>
      <c r="AO298" s="82" t="str">
        <f t="shared" si="145"/>
        <v>-</v>
      </c>
      <c r="AP298" s="57" t="str">
        <f t="shared" si="146"/>
        <v>-</v>
      </c>
      <c r="AQ298" s="86" t="str">
        <f t="shared" si="147"/>
        <v>-</v>
      </c>
      <c r="AR298" s="86" t="str">
        <f>IF(N298="","PRIMER_DIA en blanco",
IF(AND(M298="01",N298&gt;=L_Conversion!$C$118,N298&lt;=L_Conversion!$D$118),"-",
IF(AND(M298="02",N298&gt;=L_Conversion!$C$119,N298&lt;=L_Conversion!$D$119),"-",
IF(AND(M298="03",N298&gt;=L_Conversion!$C$120,N298&lt;=L_Conversion!$D$120),"-",
IF(AND(M298="04",N298&gt;=L_Conversion!$C$121,N298&lt;=L_Conversion!$D$121),"-",
IF(AND(M298="05",N298&gt;=L_Conversion!$C$122,N298&lt;=L_Conversion!$D$122),"-",
IF(AND(M298="06",N298&gt;=L_Conversion!$C$123,N298&lt;=L_Conversion!$D$123),"-",
IF(AND(M298="07",N298&gt;=L_Conversion!$C$124,N298&lt;=L_Conversion!$D$124),"-",
IF(AND(M298="08",N298&gt;=L_Conversion!$C$125,N298&lt;=L_Conversion!$D$125),"-",
IF(AND(M298="09",N298&gt;=L_Conversion!$C$126,N298&lt;=L_Conversion!$D$126),"-",
IF(AND(M298="10",N298&gt;=L_Conversion!$C$127,N298&lt;=L_Conversion!$D$127),"-",
IF(AND(M298="11",N298&gt;=L_Conversion!$C$128,N298&lt;=L_Conversion!$D$128),"-",
IF(AND(M298="12",N298&gt;=L_Conversion!$C$129,N298&lt;=L_Conversion!$D$129),"-",
IF(AND(M298="13",N298&gt;=L_Conversion!$C$116,N298&lt;=L_Conversion!$D$116),"-",
IF(AND(M298="14",N298&gt;=L_Conversion!$C$117,N298&lt;=L_Conversion!$D$117),"-",
"PRIMER_DIA fuera de rango")))))))))))))))</f>
        <v>-</v>
      </c>
      <c r="AS298" s="86" t="str">
        <f t="shared" si="148"/>
        <v>-</v>
      </c>
      <c r="AT298" s="86" t="str">
        <f t="shared" si="149"/>
        <v>-</v>
      </c>
      <c r="AU298" s="86" t="str">
        <f t="shared" si="150"/>
        <v>-</v>
      </c>
      <c r="AV298" s="86" t="str">
        <f t="shared" si="151"/>
        <v>-</v>
      </c>
      <c r="AW298" s="86" t="str">
        <f t="shared" si="152"/>
        <v>-</v>
      </c>
      <c r="AX298" s="86" t="str">
        <f t="shared" si="153"/>
        <v>-</v>
      </c>
      <c r="AY298" s="86" t="str">
        <f t="shared" si="154"/>
        <v>-</v>
      </c>
      <c r="AZ298" s="86" t="str">
        <f t="shared" si="155"/>
        <v>-</v>
      </c>
      <c r="BA298" s="86" t="str">
        <f t="shared" si="156"/>
        <v>-</v>
      </c>
      <c r="BB298" s="86" t="str">
        <f t="shared" si="157"/>
        <v>-</v>
      </c>
      <c r="BC298" s="86" t="str">
        <f t="shared" si="158"/>
        <v>-</v>
      </c>
      <c r="BD298" s="86" t="str">
        <f t="shared" si="159"/>
        <v>-</v>
      </c>
      <c r="BE298" s="86" t="str">
        <f t="shared" si="160"/>
        <v>-</v>
      </c>
      <c r="BF298" s="86" t="str">
        <f t="shared" si="161"/>
        <v>-</v>
      </c>
    </row>
    <row r="299" spans="1:58" x14ac:dyDescent="0.2">
      <c r="A299" s="19" t="s">
        <v>1144</v>
      </c>
      <c r="B299" s="19" t="s">
        <v>76</v>
      </c>
      <c r="C299" s="19">
        <v>10523367</v>
      </c>
      <c r="D299" s="81">
        <v>1</v>
      </c>
      <c r="E299" s="19" t="s">
        <v>1435</v>
      </c>
      <c r="F299" s="19" t="s">
        <v>1618</v>
      </c>
      <c r="G299" s="19" t="s">
        <v>1596</v>
      </c>
      <c r="H299" s="19" t="s">
        <v>663</v>
      </c>
      <c r="I299" s="19" t="s">
        <v>662</v>
      </c>
      <c r="J299" s="19">
        <v>80</v>
      </c>
      <c r="K299" s="19" t="s">
        <v>563</v>
      </c>
      <c r="L299" s="19" t="s">
        <v>502</v>
      </c>
      <c r="M299" s="19" t="s">
        <v>16</v>
      </c>
      <c r="N299" s="19">
        <v>45736</v>
      </c>
      <c r="O299" s="19">
        <v>7</v>
      </c>
      <c r="P299" s="81">
        <v>1</v>
      </c>
      <c r="Q299" s="19" t="s">
        <v>23</v>
      </c>
      <c r="R299" s="19" t="s">
        <v>11</v>
      </c>
      <c r="S299" s="19" t="s">
        <v>23</v>
      </c>
      <c r="T299" s="19">
        <v>7</v>
      </c>
      <c r="U299" s="19" t="s">
        <v>11</v>
      </c>
      <c r="V299" s="19" t="s">
        <v>11</v>
      </c>
      <c r="W299" s="19" t="s">
        <v>19</v>
      </c>
      <c r="X299" s="19">
        <v>464555</v>
      </c>
      <c r="Y299" s="19" t="s">
        <v>735</v>
      </c>
      <c r="Z299" s="19">
        <v>7</v>
      </c>
      <c r="AA299" s="19">
        <v>464555</v>
      </c>
      <c r="AB299" s="19">
        <v>464555</v>
      </c>
      <c r="AC299" s="178" t="str">
        <f>IF(OR(M299="13",M299="14",P299=8),"",IF(AND(OR(S299="AUTORIZADO", S299="PENDIENTE", S299="REDUCIDO", S299="AMPLIADO"),L299&lt;&gt;"HONORARIO" ), CONCATENATE(IF(H299="X","H",H299),"_",IF(OR(P299=5,P299=6),_xlfn.CONCAT(P299,"A"),P299),"_",VLOOKUP(T299,Datos!$B$2:$C$5,2,TRUE)),""))</f>
        <v>H_1_[4 a 10]</v>
      </c>
      <c r="AD299" s="178">
        <f t="shared" si="135"/>
        <v>929110</v>
      </c>
      <c r="AE299" s="82" t="str">
        <f t="shared" si="136"/>
        <v>-</v>
      </c>
      <c r="AF299" s="83" t="str">
        <f t="shared" si="137"/>
        <v>070601</v>
      </c>
      <c r="AG299" s="84"/>
      <c r="AH299" s="85" t="str">
        <f t="shared" si="138"/>
        <v>Corporación de Fomento de la Producción</v>
      </c>
      <c r="AI299" s="82" t="str">
        <f t="shared" si="139"/>
        <v>-</v>
      </c>
      <c r="AJ299" s="82">
        <f t="shared" si="140"/>
        <v>1</v>
      </c>
      <c r="AK299" s="82" t="str">
        <f t="shared" si="141"/>
        <v>-</v>
      </c>
      <c r="AL299" s="82" t="str">
        <f t="shared" si="142"/>
        <v>Identifica este registro como HOMBRE</v>
      </c>
      <c r="AM299" s="82" t="str">
        <f t="shared" si="143"/>
        <v>-</v>
      </c>
      <c r="AN299" s="82" t="str">
        <f t="shared" si="144"/>
        <v>-</v>
      </c>
      <c r="AO299" s="82" t="str">
        <f t="shared" si="145"/>
        <v>-</v>
      </c>
      <c r="AP299" s="57" t="str">
        <f t="shared" si="146"/>
        <v>-</v>
      </c>
      <c r="AQ299" s="86" t="str">
        <f t="shared" si="147"/>
        <v>-</v>
      </c>
      <c r="AR299" s="86" t="str">
        <f>IF(N299="","PRIMER_DIA en blanco",
IF(AND(M299="01",N299&gt;=L_Conversion!$C$118,N299&lt;=L_Conversion!$D$118),"-",
IF(AND(M299="02",N299&gt;=L_Conversion!$C$119,N299&lt;=L_Conversion!$D$119),"-",
IF(AND(M299="03",N299&gt;=L_Conversion!$C$120,N299&lt;=L_Conversion!$D$120),"-",
IF(AND(M299="04",N299&gt;=L_Conversion!$C$121,N299&lt;=L_Conversion!$D$121),"-",
IF(AND(M299="05",N299&gt;=L_Conversion!$C$122,N299&lt;=L_Conversion!$D$122),"-",
IF(AND(M299="06",N299&gt;=L_Conversion!$C$123,N299&lt;=L_Conversion!$D$123),"-",
IF(AND(M299="07",N299&gt;=L_Conversion!$C$124,N299&lt;=L_Conversion!$D$124),"-",
IF(AND(M299="08",N299&gt;=L_Conversion!$C$125,N299&lt;=L_Conversion!$D$125),"-",
IF(AND(M299="09",N299&gt;=L_Conversion!$C$126,N299&lt;=L_Conversion!$D$126),"-",
IF(AND(M299="10",N299&gt;=L_Conversion!$C$127,N299&lt;=L_Conversion!$D$127),"-",
IF(AND(M299="11",N299&gt;=L_Conversion!$C$128,N299&lt;=L_Conversion!$D$128),"-",
IF(AND(M299="12",N299&gt;=L_Conversion!$C$129,N299&lt;=L_Conversion!$D$129),"-",
IF(AND(M299="13",N299&gt;=L_Conversion!$C$116,N299&lt;=L_Conversion!$D$116),"-",
IF(AND(M299="14",N299&gt;=L_Conversion!$C$117,N299&lt;=L_Conversion!$D$117),"-",
"PRIMER_DIA fuera de rango")))))))))))))))</f>
        <v>-</v>
      </c>
      <c r="AS299" s="86" t="str">
        <f t="shared" si="148"/>
        <v>-</v>
      </c>
      <c r="AT299" s="86" t="str">
        <f t="shared" si="149"/>
        <v>-</v>
      </c>
      <c r="AU299" s="86" t="str">
        <f t="shared" si="150"/>
        <v>-</v>
      </c>
      <c r="AV299" s="86" t="str">
        <f t="shared" si="151"/>
        <v>-</v>
      </c>
      <c r="AW299" s="86" t="str">
        <f t="shared" si="152"/>
        <v>-</v>
      </c>
      <c r="AX299" s="86" t="str">
        <f t="shared" si="153"/>
        <v>-</v>
      </c>
      <c r="AY299" s="86" t="str">
        <f t="shared" si="154"/>
        <v>-</v>
      </c>
      <c r="AZ299" s="86" t="str">
        <f t="shared" si="155"/>
        <v>-</v>
      </c>
      <c r="BA299" s="86" t="str">
        <f t="shared" si="156"/>
        <v>-</v>
      </c>
      <c r="BB299" s="86" t="str">
        <f t="shared" si="157"/>
        <v>-</v>
      </c>
      <c r="BC299" s="86" t="str">
        <f t="shared" si="158"/>
        <v>-</v>
      </c>
      <c r="BD299" s="86" t="str">
        <f t="shared" si="159"/>
        <v>-</v>
      </c>
      <c r="BE299" s="86" t="str">
        <f t="shared" si="160"/>
        <v>-</v>
      </c>
      <c r="BF299" s="86" t="str">
        <f t="shared" si="161"/>
        <v>-</v>
      </c>
    </row>
    <row r="300" spans="1:58" x14ac:dyDescent="0.2">
      <c r="A300" s="19" t="s">
        <v>1144</v>
      </c>
      <c r="B300" s="19" t="s">
        <v>76</v>
      </c>
      <c r="C300" s="19">
        <v>16513630</v>
      </c>
      <c r="D300" s="81">
        <v>6</v>
      </c>
      <c r="E300" s="19" t="s">
        <v>1152</v>
      </c>
      <c r="F300" s="19" t="s">
        <v>1257</v>
      </c>
      <c r="G300" s="19" t="s">
        <v>1258</v>
      </c>
      <c r="H300" s="19" t="s">
        <v>1033</v>
      </c>
      <c r="I300" s="19" t="s">
        <v>662</v>
      </c>
      <c r="J300" s="19">
        <v>80</v>
      </c>
      <c r="K300" s="19" t="s">
        <v>563</v>
      </c>
      <c r="L300" s="19" t="s">
        <v>502</v>
      </c>
      <c r="M300" s="19" t="s">
        <v>16</v>
      </c>
      <c r="N300" s="19">
        <v>45737</v>
      </c>
      <c r="O300" s="19">
        <v>4</v>
      </c>
      <c r="P300" s="81">
        <v>1</v>
      </c>
      <c r="Q300" s="19" t="s">
        <v>23</v>
      </c>
      <c r="R300" s="19" t="s">
        <v>11</v>
      </c>
      <c r="S300" s="19" t="s">
        <v>23</v>
      </c>
      <c r="T300" s="19">
        <v>4</v>
      </c>
      <c r="U300" s="19" t="s">
        <v>11</v>
      </c>
      <c r="V300" s="19" t="s">
        <v>11</v>
      </c>
      <c r="W300" s="19" t="s">
        <v>19</v>
      </c>
      <c r="X300" s="19">
        <v>174492</v>
      </c>
      <c r="Y300" s="19" t="s">
        <v>735</v>
      </c>
      <c r="Z300" s="19">
        <v>4</v>
      </c>
      <c r="AA300" s="19">
        <v>174492</v>
      </c>
      <c r="AB300" s="19">
        <v>174492</v>
      </c>
      <c r="AC300" s="178" t="str">
        <f>IF(OR(M300="13",M300="14",P300=8),"",IF(AND(OR(S300="AUTORIZADO", S300="PENDIENTE", S300="REDUCIDO", S300="AMPLIADO"),L300&lt;&gt;"HONORARIO" ), CONCATENATE(IF(H300="X","H",H300),"_",IF(OR(P300=5,P300=6),_xlfn.CONCAT(P300,"A"),P300),"_",VLOOKUP(T300,Datos!$B$2:$C$5,2,TRUE)),""))</f>
        <v>M_1_[4 a 10]</v>
      </c>
      <c r="AD300" s="178">
        <f t="shared" si="135"/>
        <v>348984</v>
      </c>
      <c r="AE300" s="82" t="str">
        <f t="shared" si="136"/>
        <v>-</v>
      </c>
      <c r="AF300" s="83" t="str">
        <f t="shared" si="137"/>
        <v>070601</v>
      </c>
      <c r="AG300" s="84"/>
      <c r="AH300" s="85" t="str">
        <f t="shared" si="138"/>
        <v>Corporación de Fomento de la Producción</v>
      </c>
      <c r="AI300" s="82" t="str">
        <f t="shared" si="139"/>
        <v>-</v>
      </c>
      <c r="AJ300" s="82">
        <f t="shared" si="140"/>
        <v>6</v>
      </c>
      <c r="AK300" s="82" t="str">
        <f t="shared" si="141"/>
        <v>-</v>
      </c>
      <c r="AL300" s="82" t="str">
        <f t="shared" si="142"/>
        <v>Identifica este registro como MUJER</v>
      </c>
      <c r="AM300" s="82" t="str">
        <f t="shared" si="143"/>
        <v>-</v>
      </c>
      <c r="AN300" s="82" t="str">
        <f t="shared" si="144"/>
        <v>-</v>
      </c>
      <c r="AO300" s="82" t="str">
        <f t="shared" si="145"/>
        <v>-</v>
      </c>
      <c r="AP300" s="57" t="str">
        <f t="shared" si="146"/>
        <v>-</v>
      </c>
      <c r="AQ300" s="86" t="str">
        <f t="shared" si="147"/>
        <v>-</v>
      </c>
      <c r="AR300" s="86" t="str">
        <f>IF(N300="","PRIMER_DIA en blanco",
IF(AND(M300="01",N300&gt;=L_Conversion!$C$118,N300&lt;=L_Conversion!$D$118),"-",
IF(AND(M300="02",N300&gt;=L_Conversion!$C$119,N300&lt;=L_Conversion!$D$119),"-",
IF(AND(M300="03",N300&gt;=L_Conversion!$C$120,N300&lt;=L_Conversion!$D$120),"-",
IF(AND(M300="04",N300&gt;=L_Conversion!$C$121,N300&lt;=L_Conversion!$D$121),"-",
IF(AND(M300="05",N300&gt;=L_Conversion!$C$122,N300&lt;=L_Conversion!$D$122),"-",
IF(AND(M300="06",N300&gt;=L_Conversion!$C$123,N300&lt;=L_Conversion!$D$123),"-",
IF(AND(M300="07",N300&gt;=L_Conversion!$C$124,N300&lt;=L_Conversion!$D$124),"-",
IF(AND(M300="08",N300&gt;=L_Conversion!$C$125,N300&lt;=L_Conversion!$D$125),"-",
IF(AND(M300="09",N300&gt;=L_Conversion!$C$126,N300&lt;=L_Conversion!$D$126),"-",
IF(AND(M300="10",N300&gt;=L_Conversion!$C$127,N300&lt;=L_Conversion!$D$127),"-",
IF(AND(M300="11",N300&gt;=L_Conversion!$C$128,N300&lt;=L_Conversion!$D$128),"-",
IF(AND(M300="12",N300&gt;=L_Conversion!$C$129,N300&lt;=L_Conversion!$D$129),"-",
IF(AND(M300="13",N300&gt;=L_Conversion!$C$116,N300&lt;=L_Conversion!$D$116),"-",
IF(AND(M300="14",N300&gt;=L_Conversion!$C$117,N300&lt;=L_Conversion!$D$117),"-",
"PRIMER_DIA fuera de rango")))))))))))))))</f>
        <v>-</v>
      </c>
      <c r="AS300" s="86" t="str">
        <f t="shared" si="148"/>
        <v>-</v>
      </c>
      <c r="AT300" s="86" t="str">
        <f t="shared" si="149"/>
        <v>-</v>
      </c>
      <c r="AU300" s="86" t="str">
        <f t="shared" si="150"/>
        <v>-</v>
      </c>
      <c r="AV300" s="86" t="str">
        <f t="shared" si="151"/>
        <v>-</v>
      </c>
      <c r="AW300" s="86" t="str">
        <f t="shared" si="152"/>
        <v>-</v>
      </c>
      <c r="AX300" s="86" t="str">
        <f t="shared" si="153"/>
        <v>-</v>
      </c>
      <c r="AY300" s="86" t="str">
        <f t="shared" si="154"/>
        <v>-</v>
      </c>
      <c r="AZ300" s="86" t="str">
        <f t="shared" si="155"/>
        <v>-</v>
      </c>
      <c r="BA300" s="86" t="str">
        <f t="shared" si="156"/>
        <v>-</v>
      </c>
      <c r="BB300" s="86" t="str">
        <f t="shared" si="157"/>
        <v>-</v>
      </c>
      <c r="BC300" s="86" t="str">
        <f t="shared" si="158"/>
        <v>-</v>
      </c>
      <c r="BD300" s="86" t="str">
        <f t="shared" si="159"/>
        <v>-</v>
      </c>
      <c r="BE300" s="86" t="str">
        <f t="shared" si="160"/>
        <v>-</v>
      </c>
      <c r="BF300" s="86" t="str">
        <f t="shared" si="161"/>
        <v>-</v>
      </c>
    </row>
    <row r="301" spans="1:58" x14ac:dyDescent="0.2">
      <c r="A301" s="19" t="s">
        <v>1144</v>
      </c>
      <c r="B301" s="19" t="s">
        <v>76</v>
      </c>
      <c r="C301" s="19">
        <v>12633657</v>
      </c>
      <c r="D301" s="81">
        <v>8</v>
      </c>
      <c r="E301" s="19" t="s">
        <v>1619</v>
      </c>
      <c r="F301" s="19" t="s">
        <v>1173</v>
      </c>
      <c r="G301" s="19" t="s">
        <v>1620</v>
      </c>
      <c r="H301" s="19" t="s">
        <v>1033</v>
      </c>
      <c r="I301" s="19" t="s">
        <v>663</v>
      </c>
      <c r="J301" s="19">
        <v>80</v>
      </c>
      <c r="K301" s="19" t="s">
        <v>567</v>
      </c>
      <c r="L301" s="19" t="s">
        <v>516</v>
      </c>
      <c r="M301" s="19" t="s">
        <v>16</v>
      </c>
      <c r="N301" s="19">
        <v>45737</v>
      </c>
      <c r="O301" s="19">
        <v>3</v>
      </c>
      <c r="P301" s="81">
        <v>1</v>
      </c>
      <c r="Q301" s="19" t="s">
        <v>23</v>
      </c>
      <c r="R301" s="19" t="s">
        <v>11</v>
      </c>
      <c r="S301" s="19" t="s">
        <v>23</v>
      </c>
      <c r="T301" s="19">
        <v>3</v>
      </c>
      <c r="U301" s="19" t="s">
        <v>11</v>
      </c>
      <c r="V301" s="19" t="s">
        <v>19</v>
      </c>
      <c r="W301" s="19" t="s">
        <v>19</v>
      </c>
      <c r="X301" s="19">
        <v>40005</v>
      </c>
      <c r="Y301" s="19" t="s">
        <v>735</v>
      </c>
      <c r="Z301" s="19">
        <v>3</v>
      </c>
      <c r="AA301" s="19">
        <v>40005</v>
      </c>
      <c r="AB301" s="19">
        <v>40005</v>
      </c>
      <c r="AC301" s="178" t="str">
        <f>IF(OR(M301="13",M301="14",P301=8),"",IF(AND(OR(S301="AUTORIZADO", S301="PENDIENTE", S301="REDUCIDO", S301="AMPLIADO"),L301&lt;&gt;"HONORARIO" ), CONCATENATE(IF(H301="X","H",H301),"_",IF(OR(P301=5,P301=6),_xlfn.CONCAT(P301,"A"),P301),"_",VLOOKUP(T301,Datos!$B$2:$C$5,2,TRUE)),""))</f>
        <v>M_1_[hasta 3]</v>
      </c>
      <c r="AD301" s="178">
        <f t="shared" si="135"/>
        <v>80010</v>
      </c>
      <c r="AE301" s="82" t="str">
        <f t="shared" si="136"/>
        <v>-</v>
      </c>
      <c r="AF301" s="83" t="str">
        <f t="shared" si="137"/>
        <v>070601</v>
      </c>
      <c r="AG301" s="84"/>
      <c r="AH301" s="85" t="str">
        <f t="shared" si="138"/>
        <v>Corporación de Fomento de la Producción</v>
      </c>
      <c r="AI301" s="82" t="str">
        <f t="shared" si="139"/>
        <v>-</v>
      </c>
      <c r="AJ301" s="82">
        <f t="shared" si="140"/>
        <v>8</v>
      </c>
      <c r="AK301" s="82" t="str">
        <f t="shared" si="141"/>
        <v>-</v>
      </c>
      <c r="AL301" s="82" t="str">
        <f t="shared" si="142"/>
        <v>Identifica este registro como MUJER</v>
      </c>
      <c r="AM301" s="82" t="str">
        <f t="shared" si="143"/>
        <v>-</v>
      </c>
      <c r="AN301" s="82" t="str">
        <f t="shared" si="144"/>
        <v>-</v>
      </c>
      <c r="AO301" s="82" t="str">
        <f t="shared" si="145"/>
        <v>-</v>
      </c>
      <c r="AP301" s="57" t="str">
        <f t="shared" si="146"/>
        <v>-</v>
      </c>
      <c r="AQ301" s="86" t="str">
        <f t="shared" si="147"/>
        <v>-</v>
      </c>
      <c r="AR301" s="86" t="str">
        <f>IF(N301="","PRIMER_DIA en blanco",
IF(AND(M301="01",N301&gt;=L_Conversion!$C$118,N301&lt;=L_Conversion!$D$118),"-",
IF(AND(M301="02",N301&gt;=L_Conversion!$C$119,N301&lt;=L_Conversion!$D$119),"-",
IF(AND(M301="03",N301&gt;=L_Conversion!$C$120,N301&lt;=L_Conversion!$D$120),"-",
IF(AND(M301="04",N301&gt;=L_Conversion!$C$121,N301&lt;=L_Conversion!$D$121),"-",
IF(AND(M301="05",N301&gt;=L_Conversion!$C$122,N301&lt;=L_Conversion!$D$122),"-",
IF(AND(M301="06",N301&gt;=L_Conversion!$C$123,N301&lt;=L_Conversion!$D$123),"-",
IF(AND(M301="07",N301&gt;=L_Conversion!$C$124,N301&lt;=L_Conversion!$D$124),"-",
IF(AND(M301="08",N301&gt;=L_Conversion!$C$125,N301&lt;=L_Conversion!$D$125),"-",
IF(AND(M301="09",N301&gt;=L_Conversion!$C$126,N301&lt;=L_Conversion!$D$126),"-",
IF(AND(M301="10",N301&gt;=L_Conversion!$C$127,N301&lt;=L_Conversion!$D$127),"-",
IF(AND(M301="11",N301&gt;=L_Conversion!$C$128,N301&lt;=L_Conversion!$D$128),"-",
IF(AND(M301="12",N301&gt;=L_Conversion!$C$129,N301&lt;=L_Conversion!$D$129),"-",
IF(AND(M301="13",N301&gt;=L_Conversion!$C$116,N301&lt;=L_Conversion!$D$116),"-",
IF(AND(M301="14",N301&gt;=L_Conversion!$C$117,N301&lt;=L_Conversion!$D$117),"-",
"PRIMER_DIA fuera de rango")))))))))))))))</f>
        <v>-</v>
      </c>
      <c r="AS301" s="86" t="str">
        <f t="shared" si="148"/>
        <v>-</v>
      </c>
      <c r="AT301" s="86" t="str">
        <f t="shared" si="149"/>
        <v>-</v>
      </c>
      <c r="AU301" s="86" t="str">
        <f t="shared" si="150"/>
        <v>-</v>
      </c>
      <c r="AV301" s="86" t="str">
        <f t="shared" si="151"/>
        <v>-</v>
      </c>
      <c r="AW301" s="86" t="str">
        <f t="shared" si="152"/>
        <v>-</v>
      </c>
      <c r="AX301" s="86" t="str">
        <f t="shared" si="153"/>
        <v>-</v>
      </c>
      <c r="AY301" s="86" t="str">
        <f t="shared" si="154"/>
        <v>-</v>
      </c>
      <c r="AZ301" s="86" t="str">
        <f t="shared" si="155"/>
        <v>-</v>
      </c>
      <c r="BA301" s="86" t="str">
        <f t="shared" si="156"/>
        <v>-</v>
      </c>
      <c r="BB301" s="86" t="str">
        <f t="shared" si="157"/>
        <v>-</v>
      </c>
      <c r="BC301" s="86" t="str">
        <f t="shared" si="158"/>
        <v>-</v>
      </c>
      <c r="BD301" s="86" t="str">
        <f t="shared" si="159"/>
        <v>-</v>
      </c>
      <c r="BE301" s="86" t="str">
        <f t="shared" si="160"/>
        <v>-</v>
      </c>
      <c r="BF301" s="86" t="str">
        <f t="shared" si="161"/>
        <v>-</v>
      </c>
    </row>
    <row r="302" spans="1:58" x14ac:dyDescent="0.2">
      <c r="A302" s="19" t="s">
        <v>1144</v>
      </c>
      <c r="B302" s="19" t="s">
        <v>1621</v>
      </c>
      <c r="C302" s="19">
        <v>9400812</v>
      </c>
      <c r="D302" s="81">
        <v>3</v>
      </c>
      <c r="E302" s="19" t="s">
        <v>1622</v>
      </c>
      <c r="F302" s="19" t="s">
        <v>1623</v>
      </c>
      <c r="G302" s="19" t="s">
        <v>1624</v>
      </c>
      <c r="H302" s="19" t="s">
        <v>663</v>
      </c>
      <c r="I302" s="19" t="s">
        <v>663</v>
      </c>
      <c r="J302" s="19">
        <v>80</v>
      </c>
      <c r="K302" s="19" t="s">
        <v>561</v>
      </c>
      <c r="L302" s="19" t="s">
        <v>516</v>
      </c>
      <c r="M302" s="19" t="s">
        <v>16</v>
      </c>
      <c r="N302" s="19">
        <v>45737</v>
      </c>
      <c r="O302" s="19">
        <v>1</v>
      </c>
      <c r="P302" s="81">
        <v>1</v>
      </c>
      <c r="Q302" s="19" t="s">
        <v>23</v>
      </c>
      <c r="R302" s="19" t="s">
        <v>11</v>
      </c>
      <c r="S302" s="19" t="s">
        <v>23</v>
      </c>
      <c r="T302" s="19">
        <v>1</v>
      </c>
      <c r="U302" s="19" t="s">
        <v>11</v>
      </c>
      <c r="V302" s="19" t="s">
        <v>19</v>
      </c>
      <c r="W302" s="19" t="s">
        <v>19</v>
      </c>
      <c r="X302" s="19">
        <v>21877</v>
      </c>
      <c r="Y302" s="19" t="s">
        <v>735</v>
      </c>
      <c r="Z302" s="19">
        <v>1</v>
      </c>
      <c r="AA302" s="19">
        <v>21877</v>
      </c>
      <c r="AB302" s="19">
        <v>21877</v>
      </c>
      <c r="AC302" s="178" t="str">
        <f>IF(OR(M302="13",M302="14",P302=8),"",IF(AND(OR(S302="AUTORIZADO", S302="PENDIENTE", S302="REDUCIDO", S302="AMPLIADO"),L302&lt;&gt;"HONORARIO" ), CONCATENATE(IF(H302="X","H",H302),"_",IF(OR(P302=5,P302=6),_xlfn.CONCAT(P302,"A"),P302),"_",VLOOKUP(T302,Datos!$B$2:$C$5,2,TRUE)),""))</f>
        <v>H_1_[hasta 3]</v>
      </c>
      <c r="AD302" s="178">
        <f t="shared" si="135"/>
        <v>43754</v>
      </c>
      <c r="AE302" s="82" t="str">
        <f t="shared" si="136"/>
        <v>-</v>
      </c>
      <c r="AF302" s="83" t="str">
        <f t="shared" si="137"/>
        <v>Revisar</v>
      </c>
      <c r="AG302" s="84"/>
      <c r="AH302" s="85" t="str">
        <f t="shared" si="138"/>
        <v>Corregir código servicio</v>
      </c>
      <c r="AI302" s="82" t="str">
        <f t="shared" si="139"/>
        <v>-</v>
      </c>
      <c r="AJ302" s="82">
        <f t="shared" si="140"/>
        <v>3</v>
      </c>
      <c r="AK302" s="82" t="str">
        <f t="shared" si="141"/>
        <v>-</v>
      </c>
      <c r="AL302" s="82" t="str">
        <f t="shared" si="142"/>
        <v>Identifica este registro como HOMBRE</v>
      </c>
      <c r="AM302" s="82" t="str">
        <f t="shared" si="143"/>
        <v>-</v>
      </c>
      <c r="AN302" s="82" t="str">
        <f t="shared" si="144"/>
        <v>-</v>
      </c>
      <c r="AO302" s="82" t="str">
        <f t="shared" si="145"/>
        <v>-</v>
      </c>
      <c r="AP302" s="57" t="str">
        <f t="shared" si="146"/>
        <v>-</v>
      </c>
      <c r="AQ302" s="86" t="str">
        <f t="shared" si="147"/>
        <v>-</v>
      </c>
      <c r="AR302" s="86" t="str">
        <f>IF(N302="","PRIMER_DIA en blanco",
IF(AND(M302="01",N302&gt;=L_Conversion!$C$118,N302&lt;=L_Conversion!$D$118),"-",
IF(AND(M302="02",N302&gt;=L_Conversion!$C$119,N302&lt;=L_Conversion!$D$119),"-",
IF(AND(M302="03",N302&gt;=L_Conversion!$C$120,N302&lt;=L_Conversion!$D$120),"-",
IF(AND(M302="04",N302&gt;=L_Conversion!$C$121,N302&lt;=L_Conversion!$D$121),"-",
IF(AND(M302="05",N302&gt;=L_Conversion!$C$122,N302&lt;=L_Conversion!$D$122),"-",
IF(AND(M302="06",N302&gt;=L_Conversion!$C$123,N302&lt;=L_Conversion!$D$123),"-",
IF(AND(M302="07",N302&gt;=L_Conversion!$C$124,N302&lt;=L_Conversion!$D$124),"-",
IF(AND(M302="08",N302&gt;=L_Conversion!$C$125,N302&lt;=L_Conversion!$D$125),"-",
IF(AND(M302="09",N302&gt;=L_Conversion!$C$126,N302&lt;=L_Conversion!$D$126),"-",
IF(AND(M302="10",N302&gt;=L_Conversion!$C$127,N302&lt;=L_Conversion!$D$127),"-",
IF(AND(M302="11",N302&gt;=L_Conversion!$C$128,N302&lt;=L_Conversion!$D$128),"-",
IF(AND(M302="12",N302&gt;=L_Conversion!$C$129,N302&lt;=L_Conversion!$D$129),"-",
IF(AND(M302="13",N302&gt;=L_Conversion!$C$116,N302&lt;=L_Conversion!$D$116),"-",
IF(AND(M302="14",N302&gt;=L_Conversion!$C$117,N302&lt;=L_Conversion!$D$117),"-",
"PRIMER_DIA fuera de rango")))))))))))))))</f>
        <v>-</v>
      </c>
      <c r="AS302" s="86" t="str">
        <f t="shared" si="148"/>
        <v>-</v>
      </c>
      <c r="AT302" s="86" t="str">
        <f t="shared" si="149"/>
        <v>-</v>
      </c>
      <c r="AU302" s="86" t="str">
        <f t="shared" si="150"/>
        <v>-</v>
      </c>
      <c r="AV302" s="86" t="str">
        <f t="shared" si="151"/>
        <v>-</v>
      </c>
      <c r="AW302" s="86" t="str">
        <f t="shared" si="152"/>
        <v>-</v>
      </c>
      <c r="AX302" s="86" t="str">
        <f t="shared" si="153"/>
        <v>-</v>
      </c>
      <c r="AY302" s="86" t="str">
        <f t="shared" si="154"/>
        <v>-</v>
      </c>
      <c r="AZ302" s="86" t="str">
        <f t="shared" si="155"/>
        <v>-</v>
      </c>
      <c r="BA302" s="86" t="str">
        <f t="shared" si="156"/>
        <v>-</v>
      </c>
      <c r="BB302" s="86" t="str">
        <f t="shared" si="157"/>
        <v>-</v>
      </c>
      <c r="BC302" s="86" t="str">
        <f t="shared" si="158"/>
        <v>-</v>
      </c>
      <c r="BD302" s="86" t="str">
        <f t="shared" si="159"/>
        <v>-</v>
      </c>
      <c r="BE302" s="86" t="str">
        <f t="shared" si="160"/>
        <v>-</v>
      </c>
      <c r="BF302" s="86" t="str">
        <f t="shared" si="161"/>
        <v>-</v>
      </c>
    </row>
    <row r="303" spans="1:58" x14ac:dyDescent="0.2">
      <c r="A303" s="19" t="s">
        <v>1144</v>
      </c>
      <c r="B303" s="19" t="s">
        <v>886</v>
      </c>
      <c r="C303" s="19">
        <v>13879535</v>
      </c>
      <c r="D303" s="81">
        <v>7</v>
      </c>
      <c r="E303" s="19" t="s">
        <v>1157</v>
      </c>
      <c r="F303" s="19" t="s">
        <v>1156</v>
      </c>
      <c r="G303" s="19" t="s">
        <v>1625</v>
      </c>
      <c r="H303" s="19" t="s">
        <v>663</v>
      </c>
      <c r="I303" s="19" t="s">
        <v>663</v>
      </c>
      <c r="J303" s="19">
        <v>80</v>
      </c>
      <c r="K303" s="19" t="s">
        <v>563</v>
      </c>
      <c r="L303" s="19" t="s">
        <v>516</v>
      </c>
      <c r="M303" s="19" t="s">
        <v>16</v>
      </c>
      <c r="N303" s="19">
        <v>45737</v>
      </c>
      <c r="O303" s="19">
        <v>15</v>
      </c>
      <c r="P303" s="81">
        <v>1</v>
      </c>
      <c r="Q303" s="19" t="s">
        <v>23</v>
      </c>
      <c r="R303" s="19" t="s">
        <v>11</v>
      </c>
      <c r="S303" s="19" t="s">
        <v>23</v>
      </c>
      <c r="T303" s="19">
        <v>15</v>
      </c>
      <c r="U303" s="19" t="s">
        <v>11</v>
      </c>
      <c r="V303" s="19" t="s">
        <v>11</v>
      </c>
      <c r="W303" s="19" t="s">
        <v>19</v>
      </c>
      <c r="X303" s="19">
        <v>1621707</v>
      </c>
      <c r="Y303" s="19" t="s">
        <v>735</v>
      </c>
      <c r="Z303" s="19">
        <v>15</v>
      </c>
      <c r="AA303" s="19">
        <v>1621707</v>
      </c>
      <c r="AB303" s="19">
        <v>1621707</v>
      </c>
      <c r="AC303" s="178" t="str">
        <f>IF(OR(M303="13",M303="14",P303=8),"",IF(AND(OR(S303="AUTORIZADO", S303="PENDIENTE", S303="REDUCIDO", S303="AMPLIADO"),L303&lt;&gt;"HONORARIO" ), CONCATENATE(IF(H303="X","H",H303),"_",IF(OR(P303=5,P303=6),_xlfn.CONCAT(P303,"A"),P303),"_",VLOOKUP(T303,Datos!$B$2:$C$5,2,TRUE)),""))</f>
        <v>H_1_[11 +]</v>
      </c>
      <c r="AD303" s="178">
        <f t="shared" si="135"/>
        <v>3243414</v>
      </c>
      <c r="AE303" s="82" t="str">
        <f t="shared" si="136"/>
        <v>-</v>
      </c>
      <c r="AF303" s="83" t="str">
        <f t="shared" si="137"/>
        <v>070606</v>
      </c>
      <c r="AG303" s="84"/>
      <c r="AH303" s="85" t="str">
        <f t="shared" si="138"/>
        <v>Corporación de Fomento de la Producción</v>
      </c>
      <c r="AI303" s="82" t="str">
        <f t="shared" si="139"/>
        <v>-</v>
      </c>
      <c r="AJ303" s="82">
        <f t="shared" si="140"/>
        <v>7</v>
      </c>
      <c r="AK303" s="82" t="str">
        <f t="shared" si="141"/>
        <v>-</v>
      </c>
      <c r="AL303" s="82" t="str">
        <f t="shared" si="142"/>
        <v>Identifica este registro como HOMBRE</v>
      </c>
      <c r="AM303" s="82" t="str">
        <f t="shared" si="143"/>
        <v>-</v>
      </c>
      <c r="AN303" s="82" t="str">
        <f t="shared" si="144"/>
        <v>-</v>
      </c>
      <c r="AO303" s="82" t="str">
        <f t="shared" si="145"/>
        <v>-</v>
      </c>
      <c r="AP303" s="57" t="str">
        <f t="shared" si="146"/>
        <v>-</v>
      </c>
      <c r="AQ303" s="86" t="str">
        <f t="shared" si="147"/>
        <v>-</v>
      </c>
      <c r="AR303" s="86" t="str">
        <f>IF(N303="","PRIMER_DIA en blanco",
IF(AND(M303="01",N303&gt;=L_Conversion!$C$118,N303&lt;=L_Conversion!$D$118),"-",
IF(AND(M303="02",N303&gt;=L_Conversion!$C$119,N303&lt;=L_Conversion!$D$119),"-",
IF(AND(M303="03",N303&gt;=L_Conversion!$C$120,N303&lt;=L_Conversion!$D$120),"-",
IF(AND(M303="04",N303&gt;=L_Conversion!$C$121,N303&lt;=L_Conversion!$D$121),"-",
IF(AND(M303="05",N303&gt;=L_Conversion!$C$122,N303&lt;=L_Conversion!$D$122),"-",
IF(AND(M303="06",N303&gt;=L_Conversion!$C$123,N303&lt;=L_Conversion!$D$123),"-",
IF(AND(M303="07",N303&gt;=L_Conversion!$C$124,N303&lt;=L_Conversion!$D$124),"-",
IF(AND(M303="08",N303&gt;=L_Conversion!$C$125,N303&lt;=L_Conversion!$D$125),"-",
IF(AND(M303="09",N303&gt;=L_Conversion!$C$126,N303&lt;=L_Conversion!$D$126),"-",
IF(AND(M303="10",N303&gt;=L_Conversion!$C$127,N303&lt;=L_Conversion!$D$127),"-",
IF(AND(M303="11",N303&gt;=L_Conversion!$C$128,N303&lt;=L_Conversion!$D$128),"-",
IF(AND(M303="12",N303&gt;=L_Conversion!$C$129,N303&lt;=L_Conversion!$D$129),"-",
IF(AND(M303="13",N303&gt;=L_Conversion!$C$116,N303&lt;=L_Conversion!$D$116),"-",
IF(AND(M303="14",N303&gt;=L_Conversion!$C$117,N303&lt;=L_Conversion!$D$117),"-",
"PRIMER_DIA fuera de rango")))))))))))))))</f>
        <v>-</v>
      </c>
      <c r="AS303" s="86" t="str">
        <f t="shared" si="148"/>
        <v>-</v>
      </c>
      <c r="AT303" s="86" t="str">
        <f t="shared" si="149"/>
        <v>-</v>
      </c>
      <c r="AU303" s="86" t="str">
        <f t="shared" si="150"/>
        <v>-</v>
      </c>
      <c r="AV303" s="86" t="str">
        <f t="shared" si="151"/>
        <v>-</v>
      </c>
      <c r="AW303" s="86" t="str">
        <f t="shared" si="152"/>
        <v>-</v>
      </c>
      <c r="AX303" s="86" t="str">
        <f t="shared" si="153"/>
        <v>-</v>
      </c>
      <c r="AY303" s="86" t="str">
        <f t="shared" si="154"/>
        <v>-</v>
      </c>
      <c r="AZ303" s="86" t="str">
        <f t="shared" si="155"/>
        <v>-</v>
      </c>
      <c r="BA303" s="86" t="str">
        <f t="shared" si="156"/>
        <v>-</v>
      </c>
      <c r="BB303" s="86" t="str">
        <f t="shared" si="157"/>
        <v>-</v>
      </c>
      <c r="BC303" s="86" t="str">
        <f t="shared" si="158"/>
        <v>-</v>
      </c>
      <c r="BD303" s="86" t="str">
        <f t="shared" si="159"/>
        <v>-</v>
      </c>
      <c r="BE303" s="86" t="str">
        <f t="shared" si="160"/>
        <v>-</v>
      </c>
      <c r="BF303" s="86" t="str">
        <f t="shared" si="161"/>
        <v>-</v>
      </c>
    </row>
    <row r="304" spans="1:58" x14ac:dyDescent="0.2">
      <c r="A304" s="19" t="s">
        <v>1144</v>
      </c>
      <c r="B304" s="19" t="s">
        <v>76</v>
      </c>
      <c r="C304" s="19">
        <v>8001291</v>
      </c>
      <c r="D304" s="81">
        <v>8</v>
      </c>
      <c r="E304" s="19" t="s">
        <v>1502</v>
      </c>
      <c r="F304" s="19" t="s">
        <v>1298</v>
      </c>
      <c r="G304" s="19" t="s">
        <v>1626</v>
      </c>
      <c r="H304" s="19" t="s">
        <v>663</v>
      </c>
      <c r="I304" s="19" t="s">
        <v>662</v>
      </c>
      <c r="J304" s="19">
        <v>60</v>
      </c>
      <c r="K304" s="19" t="s">
        <v>567</v>
      </c>
      <c r="L304" s="19" t="s">
        <v>497</v>
      </c>
      <c r="M304" s="19" t="s">
        <v>16</v>
      </c>
      <c r="N304" s="19">
        <v>45737</v>
      </c>
      <c r="O304" s="19">
        <v>1</v>
      </c>
      <c r="P304" s="81">
        <v>1</v>
      </c>
      <c r="Q304" s="19" t="s">
        <v>23</v>
      </c>
      <c r="R304" s="19" t="s">
        <v>11</v>
      </c>
      <c r="S304" s="19" t="s">
        <v>23</v>
      </c>
      <c r="T304" s="19">
        <v>1</v>
      </c>
      <c r="U304" s="19" t="s">
        <v>11</v>
      </c>
      <c r="V304" s="19" t="s">
        <v>19</v>
      </c>
      <c r="W304" s="19" t="s">
        <v>19</v>
      </c>
      <c r="X304" s="19">
        <v>14835</v>
      </c>
      <c r="Y304" s="19" t="s">
        <v>735</v>
      </c>
      <c r="Z304" s="19">
        <v>1</v>
      </c>
      <c r="AA304" s="19">
        <v>14835</v>
      </c>
      <c r="AB304" s="19">
        <v>14835</v>
      </c>
      <c r="AC304" s="178" t="str">
        <f>IF(OR(M304="13",M304="14",P304=8),"",IF(AND(OR(S304="AUTORIZADO", S304="PENDIENTE", S304="REDUCIDO", S304="AMPLIADO"),L304&lt;&gt;"HONORARIO" ), CONCATENATE(IF(H304="X","H",H304),"_",IF(OR(P304=5,P304=6),_xlfn.CONCAT(P304,"A"),P304),"_",VLOOKUP(T304,Datos!$B$2:$C$5,2,TRUE)),""))</f>
        <v>H_1_[hasta 3]</v>
      </c>
      <c r="AD304" s="178">
        <f t="shared" si="135"/>
        <v>29670</v>
      </c>
      <c r="AE304" s="82" t="str">
        <f t="shared" si="136"/>
        <v>-</v>
      </c>
      <c r="AF304" s="83" t="str">
        <f t="shared" si="137"/>
        <v>070601</v>
      </c>
      <c r="AG304" s="84"/>
      <c r="AH304" s="85" t="str">
        <f t="shared" si="138"/>
        <v>Corporación de Fomento de la Producción</v>
      </c>
      <c r="AI304" s="82" t="str">
        <f t="shared" si="139"/>
        <v>-</v>
      </c>
      <c r="AJ304" s="82">
        <f t="shared" si="140"/>
        <v>8</v>
      </c>
      <c r="AK304" s="82" t="str">
        <f t="shared" si="141"/>
        <v>-</v>
      </c>
      <c r="AL304" s="82" t="str">
        <f t="shared" si="142"/>
        <v>Identifica este registro como HOMBRE</v>
      </c>
      <c r="AM304" s="82" t="str">
        <f t="shared" si="143"/>
        <v>-</v>
      </c>
      <c r="AN304" s="82" t="str">
        <f t="shared" si="144"/>
        <v>-</v>
      </c>
      <c r="AO304" s="82" t="str">
        <f t="shared" si="145"/>
        <v>-</v>
      </c>
      <c r="AP304" s="57" t="str">
        <f t="shared" si="146"/>
        <v>-</v>
      </c>
      <c r="AQ304" s="86" t="str">
        <f t="shared" si="147"/>
        <v>-</v>
      </c>
      <c r="AR304" s="86" t="str">
        <f>IF(N304="","PRIMER_DIA en blanco",
IF(AND(M304="01",N304&gt;=L_Conversion!$C$118,N304&lt;=L_Conversion!$D$118),"-",
IF(AND(M304="02",N304&gt;=L_Conversion!$C$119,N304&lt;=L_Conversion!$D$119),"-",
IF(AND(M304="03",N304&gt;=L_Conversion!$C$120,N304&lt;=L_Conversion!$D$120),"-",
IF(AND(M304="04",N304&gt;=L_Conversion!$C$121,N304&lt;=L_Conversion!$D$121),"-",
IF(AND(M304="05",N304&gt;=L_Conversion!$C$122,N304&lt;=L_Conversion!$D$122),"-",
IF(AND(M304="06",N304&gt;=L_Conversion!$C$123,N304&lt;=L_Conversion!$D$123),"-",
IF(AND(M304="07",N304&gt;=L_Conversion!$C$124,N304&lt;=L_Conversion!$D$124),"-",
IF(AND(M304="08",N304&gt;=L_Conversion!$C$125,N304&lt;=L_Conversion!$D$125),"-",
IF(AND(M304="09",N304&gt;=L_Conversion!$C$126,N304&lt;=L_Conversion!$D$126),"-",
IF(AND(M304="10",N304&gt;=L_Conversion!$C$127,N304&lt;=L_Conversion!$D$127),"-",
IF(AND(M304="11",N304&gt;=L_Conversion!$C$128,N304&lt;=L_Conversion!$D$128),"-",
IF(AND(M304="12",N304&gt;=L_Conversion!$C$129,N304&lt;=L_Conversion!$D$129),"-",
IF(AND(M304="13",N304&gt;=L_Conversion!$C$116,N304&lt;=L_Conversion!$D$116),"-",
IF(AND(M304="14",N304&gt;=L_Conversion!$C$117,N304&lt;=L_Conversion!$D$117),"-",
"PRIMER_DIA fuera de rango")))))))))))))))</f>
        <v>-</v>
      </c>
      <c r="AS304" s="86" t="str">
        <f t="shared" si="148"/>
        <v>-</v>
      </c>
      <c r="AT304" s="86" t="str">
        <f t="shared" si="149"/>
        <v>-</v>
      </c>
      <c r="AU304" s="86" t="str">
        <f t="shared" si="150"/>
        <v>-</v>
      </c>
      <c r="AV304" s="86" t="str">
        <f t="shared" si="151"/>
        <v>-</v>
      </c>
      <c r="AW304" s="86" t="str">
        <f t="shared" si="152"/>
        <v>-</v>
      </c>
      <c r="AX304" s="86" t="str">
        <f t="shared" si="153"/>
        <v>-</v>
      </c>
      <c r="AY304" s="86" t="str">
        <f t="shared" si="154"/>
        <v>-</v>
      </c>
      <c r="AZ304" s="86" t="str">
        <f t="shared" si="155"/>
        <v>-</v>
      </c>
      <c r="BA304" s="86" t="str">
        <f t="shared" si="156"/>
        <v>-</v>
      </c>
      <c r="BB304" s="86" t="str">
        <f t="shared" si="157"/>
        <v>-</v>
      </c>
      <c r="BC304" s="86" t="str">
        <f t="shared" si="158"/>
        <v>-</v>
      </c>
      <c r="BD304" s="86" t="str">
        <f t="shared" si="159"/>
        <v>-</v>
      </c>
      <c r="BE304" s="86" t="str">
        <f t="shared" si="160"/>
        <v>-</v>
      </c>
      <c r="BF304" s="86" t="str">
        <f t="shared" si="161"/>
        <v>-</v>
      </c>
    </row>
    <row r="305" spans="1:58" x14ac:dyDescent="0.2">
      <c r="A305" s="19" t="s">
        <v>1144</v>
      </c>
      <c r="B305" s="19" t="s">
        <v>76</v>
      </c>
      <c r="C305" s="19">
        <v>9796664</v>
      </c>
      <c r="D305" s="81">
        <v>8</v>
      </c>
      <c r="E305" s="19" t="s">
        <v>1627</v>
      </c>
      <c r="F305" s="19" t="s">
        <v>1628</v>
      </c>
      <c r="G305" s="19" t="s">
        <v>1629</v>
      </c>
      <c r="H305" s="19" t="s">
        <v>1033</v>
      </c>
      <c r="I305" s="19" t="s">
        <v>662</v>
      </c>
      <c r="J305" s="19">
        <v>60</v>
      </c>
      <c r="K305" s="19" t="s">
        <v>567</v>
      </c>
      <c r="L305" s="19" t="s">
        <v>497</v>
      </c>
      <c r="M305" s="19" t="s">
        <v>16</v>
      </c>
      <c r="N305" s="19">
        <v>45737</v>
      </c>
      <c r="O305" s="19">
        <v>1</v>
      </c>
      <c r="P305" s="81">
        <v>1</v>
      </c>
      <c r="Q305" s="19" t="s">
        <v>23</v>
      </c>
      <c r="R305" s="19" t="s">
        <v>11</v>
      </c>
      <c r="S305" s="19" t="s">
        <v>23</v>
      </c>
      <c r="T305" s="19">
        <v>1</v>
      </c>
      <c r="U305" s="19" t="s">
        <v>11</v>
      </c>
      <c r="V305" s="19" t="s">
        <v>19</v>
      </c>
      <c r="W305" s="19" t="s">
        <v>19</v>
      </c>
      <c r="X305" s="19">
        <v>16173</v>
      </c>
      <c r="Y305" s="19" t="s">
        <v>735</v>
      </c>
      <c r="Z305" s="19">
        <v>1</v>
      </c>
      <c r="AA305" s="19">
        <v>16173</v>
      </c>
      <c r="AB305" s="19">
        <v>16173</v>
      </c>
      <c r="AC305" s="178" t="str">
        <f>IF(OR(M305="13",M305="14",P305=8),"",IF(AND(OR(S305="AUTORIZADO", S305="PENDIENTE", S305="REDUCIDO", S305="AMPLIADO"),L305&lt;&gt;"HONORARIO" ), CONCATENATE(IF(H305="X","H",H305),"_",IF(OR(P305=5,P305=6),_xlfn.CONCAT(P305,"A"),P305),"_",VLOOKUP(T305,Datos!$B$2:$C$5,2,TRUE)),""))</f>
        <v>M_1_[hasta 3]</v>
      </c>
      <c r="AD305" s="178">
        <f t="shared" si="135"/>
        <v>32346</v>
      </c>
      <c r="AE305" s="82" t="str">
        <f t="shared" si="136"/>
        <v>-</v>
      </c>
      <c r="AF305" s="83" t="str">
        <f t="shared" si="137"/>
        <v>070601</v>
      </c>
      <c r="AG305" s="84"/>
      <c r="AH305" s="85" t="str">
        <f t="shared" si="138"/>
        <v>Corporación de Fomento de la Producción</v>
      </c>
      <c r="AI305" s="82" t="str">
        <f t="shared" si="139"/>
        <v>-</v>
      </c>
      <c r="AJ305" s="82">
        <f t="shared" si="140"/>
        <v>8</v>
      </c>
      <c r="AK305" s="82" t="str">
        <f t="shared" si="141"/>
        <v>-</v>
      </c>
      <c r="AL305" s="82" t="str">
        <f t="shared" si="142"/>
        <v>Identifica este registro como MUJER</v>
      </c>
      <c r="AM305" s="82" t="str">
        <f t="shared" si="143"/>
        <v>-</v>
      </c>
      <c r="AN305" s="82" t="str">
        <f t="shared" si="144"/>
        <v>-</v>
      </c>
      <c r="AO305" s="82" t="str">
        <f t="shared" si="145"/>
        <v>-</v>
      </c>
      <c r="AP305" s="57" t="str">
        <f t="shared" si="146"/>
        <v>-</v>
      </c>
      <c r="AQ305" s="86" t="str">
        <f t="shared" si="147"/>
        <v>-</v>
      </c>
      <c r="AR305" s="86" t="str">
        <f>IF(N305="","PRIMER_DIA en blanco",
IF(AND(M305="01",N305&gt;=L_Conversion!$C$118,N305&lt;=L_Conversion!$D$118),"-",
IF(AND(M305="02",N305&gt;=L_Conversion!$C$119,N305&lt;=L_Conversion!$D$119),"-",
IF(AND(M305="03",N305&gt;=L_Conversion!$C$120,N305&lt;=L_Conversion!$D$120),"-",
IF(AND(M305="04",N305&gt;=L_Conversion!$C$121,N305&lt;=L_Conversion!$D$121),"-",
IF(AND(M305="05",N305&gt;=L_Conversion!$C$122,N305&lt;=L_Conversion!$D$122),"-",
IF(AND(M305="06",N305&gt;=L_Conversion!$C$123,N305&lt;=L_Conversion!$D$123),"-",
IF(AND(M305="07",N305&gt;=L_Conversion!$C$124,N305&lt;=L_Conversion!$D$124),"-",
IF(AND(M305="08",N305&gt;=L_Conversion!$C$125,N305&lt;=L_Conversion!$D$125),"-",
IF(AND(M305="09",N305&gt;=L_Conversion!$C$126,N305&lt;=L_Conversion!$D$126),"-",
IF(AND(M305="10",N305&gt;=L_Conversion!$C$127,N305&lt;=L_Conversion!$D$127),"-",
IF(AND(M305="11",N305&gt;=L_Conversion!$C$128,N305&lt;=L_Conversion!$D$128),"-",
IF(AND(M305="12",N305&gt;=L_Conversion!$C$129,N305&lt;=L_Conversion!$D$129),"-",
IF(AND(M305="13",N305&gt;=L_Conversion!$C$116,N305&lt;=L_Conversion!$D$116),"-",
IF(AND(M305="14",N305&gt;=L_Conversion!$C$117,N305&lt;=L_Conversion!$D$117),"-",
"PRIMER_DIA fuera de rango")))))))))))))))</f>
        <v>-</v>
      </c>
      <c r="AS305" s="86" t="str">
        <f t="shared" si="148"/>
        <v>-</v>
      </c>
      <c r="AT305" s="86" t="str">
        <f t="shared" si="149"/>
        <v>-</v>
      </c>
      <c r="AU305" s="86" t="str">
        <f t="shared" si="150"/>
        <v>-</v>
      </c>
      <c r="AV305" s="86" t="str">
        <f t="shared" si="151"/>
        <v>-</v>
      </c>
      <c r="AW305" s="86" t="str">
        <f t="shared" si="152"/>
        <v>-</v>
      </c>
      <c r="AX305" s="86" t="str">
        <f t="shared" si="153"/>
        <v>-</v>
      </c>
      <c r="AY305" s="86" t="str">
        <f t="shared" si="154"/>
        <v>-</v>
      </c>
      <c r="AZ305" s="86" t="str">
        <f t="shared" si="155"/>
        <v>-</v>
      </c>
      <c r="BA305" s="86" t="str">
        <f t="shared" si="156"/>
        <v>-</v>
      </c>
      <c r="BB305" s="86" t="str">
        <f t="shared" si="157"/>
        <v>-</v>
      </c>
      <c r="BC305" s="86" t="str">
        <f t="shared" si="158"/>
        <v>-</v>
      </c>
      <c r="BD305" s="86" t="str">
        <f t="shared" si="159"/>
        <v>-</v>
      </c>
      <c r="BE305" s="86" t="str">
        <f t="shared" si="160"/>
        <v>-</v>
      </c>
      <c r="BF305" s="86" t="str">
        <f t="shared" si="161"/>
        <v>-</v>
      </c>
    </row>
    <row r="306" spans="1:58" x14ac:dyDescent="0.2">
      <c r="A306" s="19" t="s">
        <v>1144</v>
      </c>
      <c r="B306" s="19" t="s">
        <v>76</v>
      </c>
      <c r="C306" s="19">
        <v>16339293</v>
      </c>
      <c r="D306" s="81">
        <v>3</v>
      </c>
      <c r="E306" s="19" t="s">
        <v>1149</v>
      </c>
      <c r="F306" s="19" t="s">
        <v>1457</v>
      </c>
      <c r="G306" s="19" t="s">
        <v>1458</v>
      </c>
      <c r="H306" s="19" t="s">
        <v>663</v>
      </c>
      <c r="I306" s="19" t="s">
        <v>663</v>
      </c>
      <c r="J306" s="19">
        <v>80</v>
      </c>
      <c r="K306" s="19" t="s">
        <v>563</v>
      </c>
      <c r="L306" s="19" t="s">
        <v>516</v>
      </c>
      <c r="M306" s="19" t="s">
        <v>16</v>
      </c>
      <c r="N306" s="19">
        <v>45738</v>
      </c>
      <c r="O306" s="19">
        <v>15</v>
      </c>
      <c r="P306" s="81">
        <v>1</v>
      </c>
      <c r="Q306" s="19" t="s">
        <v>23</v>
      </c>
      <c r="R306" s="19" t="s">
        <v>11</v>
      </c>
      <c r="S306" s="19" t="s">
        <v>23</v>
      </c>
      <c r="T306" s="19">
        <v>15</v>
      </c>
      <c r="U306" s="19" t="s">
        <v>11</v>
      </c>
      <c r="V306" s="19" t="s">
        <v>11</v>
      </c>
      <c r="W306" s="19" t="s">
        <v>19</v>
      </c>
      <c r="X306" s="19">
        <v>1286716</v>
      </c>
      <c r="Y306" s="19" t="s">
        <v>735</v>
      </c>
      <c r="Z306" s="19">
        <v>15</v>
      </c>
      <c r="AA306" s="19">
        <v>1286716</v>
      </c>
      <c r="AB306" s="19">
        <v>1286716</v>
      </c>
      <c r="AC306" s="178" t="str">
        <f>IF(OR(M306="13",M306="14",P306=8),"",IF(AND(OR(S306="AUTORIZADO", S306="PENDIENTE", S306="REDUCIDO", S306="AMPLIADO"),L306&lt;&gt;"HONORARIO" ), CONCATENATE(IF(H306="X","H",H306),"_",IF(OR(P306=5,P306=6),_xlfn.CONCAT(P306,"A"),P306),"_",VLOOKUP(T306,Datos!$B$2:$C$5,2,TRUE)),""))</f>
        <v>H_1_[11 +]</v>
      </c>
      <c r="AD306" s="178">
        <f t="shared" si="135"/>
        <v>2573432</v>
      </c>
      <c r="AE306" s="82" t="str">
        <f t="shared" si="136"/>
        <v>-</v>
      </c>
      <c r="AF306" s="83" t="str">
        <f t="shared" si="137"/>
        <v>070601</v>
      </c>
      <c r="AG306" s="84"/>
      <c r="AH306" s="85" t="str">
        <f t="shared" si="138"/>
        <v>Corporación de Fomento de la Producción</v>
      </c>
      <c r="AI306" s="82" t="str">
        <f t="shared" si="139"/>
        <v>-</v>
      </c>
      <c r="AJ306" s="82">
        <f t="shared" si="140"/>
        <v>3</v>
      </c>
      <c r="AK306" s="82" t="str">
        <f t="shared" si="141"/>
        <v>-</v>
      </c>
      <c r="AL306" s="82" t="str">
        <f t="shared" si="142"/>
        <v>Identifica este registro como HOMBRE</v>
      </c>
      <c r="AM306" s="82" t="str">
        <f t="shared" si="143"/>
        <v>-</v>
      </c>
      <c r="AN306" s="82" t="str">
        <f t="shared" si="144"/>
        <v>-</v>
      </c>
      <c r="AO306" s="82" t="str">
        <f t="shared" si="145"/>
        <v>-</v>
      </c>
      <c r="AP306" s="57" t="str">
        <f t="shared" si="146"/>
        <v>-</v>
      </c>
      <c r="AQ306" s="86" t="str">
        <f t="shared" si="147"/>
        <v>-</v>
      </c>
      <c r="AR306" s="86" t="str">
        <f>IF(N306="","PRIMER_DIA en blanco",
IF(AND(M306="01",N306&gt;=L_Conversion!$C$118,N306&lt;=L_Conversion!$D$118),"-",
IF(AND(M306="02",N306&gt;=L_Conversion!$C$119,N306&lt;=L_Conversion!$D$119),"-",
IF(AND(M306="03",N306&gt;=L_Conversion!$C$120,N306&lt;=L_Conversion!$D$120),"-",
IF(AND(M306="04",N306&gt;=L_Conversion!$C$121,N306&lt;=L_Conversion!$D$121),"-",
IF(AND(M306="05",N306&gt;=L_Conversion!$C$122,N306&lt;=L_Conversion!$D$122),"-",
IF(AND(M306="06",N306&gt;=L_Conversion!$C$123,N306&lt;=L_Conversion!$D$123),"-",
IF(AND(M306="07",N306&gt;=L_Conversion!$C$124,N306&lt;=L_Conversion!$D$124),"-",
IF(AND(M306="08",N306&gt;=L_Conversion!$C$125,N306&lt;=L_Conversion!$D$125),"-",
IF(AND(M306="09",N306&gt;=L_Conversion!$C$126,N306&lt;=L_Conversion!$D$126),"-",
IF(AND(M306="10",N306&gt;=L_Conversion!$C$127,N306&lt;=L_Conversion!$D$127),"-",
IF(AND(M306="11",N306&gt;=L_Conversion!$C$128,N306&lt;=L_Conversion!$D$128),"-",
IF(AND(M306="12",N306&gt;=L_Conversion!$C$129,N306&lt;=L_Conversion!$D$129),"-",
IF(AND(M306="13",N306&gt;=L_Conversion!$C$116,N306&lt;=L_Conversion!$D$116),"-",
IF(AND(M306="14",N306&gt;=L_Conversion!$C$117,N306&lt;=L_Conversion!$D$117),"-",
"PRIMER_DIA fuera de rango")))))))))))))))</f>
        <v>-</v>
      </c>
      <c r="AS306" s="86" t="str">
        <f t="shared" si="148"/>
        <v>-</v>
      </c>
      <c r="AT306" s="86" t="str">
        <f t="shared" si="149"/>
        <v>-</v>
      </c>
      <c r="AU306" s="86" t="str">
        <f t="shared" si="150"/>
        <v>-</v>
      </c>
      <c r="AV306" s="86" t="str">
        <f t="shared" si="151"/>
        <v>-</v>
      </c>
      <c r="AW306" s="86" t="str">
        <f t="shared" si="152"/>
        <v>-</v>
      </c>
      <c r="AX306" s="86" t="str">
        <f t="shared" si="153"/>
        <v>-</v>
      </c>
      <c r="AY306" s="86" t="str">
        <f t="shared" si="154"/>
        <v>-</v>
      </c>
      <c r="AZ306" s="86" t="str">
        <f t="shared" si="155"/>
        <v>-</v>
      </c>
      <c r="BA306" s="86" t="str">
        <f t="shared" si="156"/>
        <v>-</v>
      </c>
      <c r="BB306" s="86" t="str">
        <f t="shared" si="157"/>
        <v>-</v>
      </c>
      <c r="BC306" s="86" t="str">
        <f t="shared" si="158"/>
        <v>-</v>
      </c>
      <c r="BD306" s="86" t="str">
        <f t="shared" si="159"/>
        <v>-</v>
      </c>
      <c r="BE306" s="86" t="str">
        <f t="shared" si="160"/>
        <v>-</v>
      </c>
      <c r="BF306" s="86" t="str">
        <f t="shared" si="161"/>
        <v>-</v>
      </c>
    </row>
    <row r="307" spans="1:58" x14ac:dyDescent="0.2">
      <c r="A307" s="19" t="s">
        <v>1144</v>
      </c>
      <c r="B307" s="19" t="s">
        <v>76</v>
      </c>
      <c r="C307" s="19">
        <v>18303226</v>
      </c>
      <c r="D307" s="81">
        <v>7</v>
      </c>
      <c r="E307" s="19" t="s">
        <v>1391</v>
      </c>
      <c r="F307" s="19" t="s">
        <v>1392</v>
      </c>
      <c r="G307" s="19" t="s">
        <v>1186</v>
      </c>
      <c r="H307" s="19" t="s">
        <v>1033</v>
      </c>
      <c r="I307" s="19" t="s">
        <v>662</v>
      </c>
      <c r="J307" s="19">
        <v>80</v>
      </c>
      <c r="K307" s="19" t="s">
        <v>567</v>
      </c>
      <c r="L307" s="19" t="s">
        <v>502</v>
      </c>
      <c r="M307" s="19" t="s">
        <v>16</v>
      </c>
      <c r="N307" s="19">
        <v>45738</v>
      </c>
      <c r="O307" s="19">
        <v>13</v>
      </c>
      <c r="P307" s="81">
        <v>7</v>
      </c>
      <c r="Q307" s="19" t="s">
        <v>23</v>
      </c>
      <c r="R307" s="19" t="s">
        <v>11</v>
      </c>
      <c r="S307" s="19" t="s">
        <v>23</v>
      </c>
      <c r="T307" s="19">
        <v>13</v>
      </c>
      <c r="U307" s="19" t="s">
        <v>11</v>
      </c>
      <c r="V307" s="19" t="s">
        <v>11</v>
      </c>
      <c r="W307" s="19" t="s">
        <v>19</v>
      </c>
      <c r="X307" s="19">
        <v>560125</v>
      </c>
      <c r="Y307" s="19" t="s">
        <v>735</v>
      </c>
      <c r="Z307" s="19">
        <v>13</v>
      </c>
      <c r="AA307" s="19">
        <v>560125</v>
      </c>
      <c r="AB307" s="19">
        <v>560125</v>
      </c>
      <c r="AC307" s="178" t="str">
        <f>IF(OR(M307="13",M307="14",P307=8),"",IF(AND(OR(S307="AUTORIZADO", S307="PENDIENTE", S307="REDUCIDO", S307="AMPLIADO"),L307&lt;&gt;"HONORARIO" ), CONCATENATE(IF(H307="X","H",H307),"_",IF(OR(P307=5,P307=6),_xlfn.CONCAT(P307,"A"),P307),"_",VLOOKUP(T307,Datos!$B$2:$C$5,2,TRUE)),""))</f>
        <v>M_7_[11 +]</v>
      </c>
      <c r="AD307" s="178">
        <f t="shared" si="135"/>
        <v>1120250</v>
      </c>
      <c r="AE307" s="82" t="str">
        <f t="shared" si="136"/>
        <v>-</v>
      </c>
      <c r="AF307" s="83" t="str">
        <f t="shared" si="137"/>
        <v>070601</v>
      </c>
      <c r="AG307" s="84"/>
      <c r="AH307" s="85" t="str">
        <f t="shared" si="138"/>
        <v>Corporación de Fomento de la Producción</v>
      </c>
      <c r="AI307" s="82" t="str">
        <f t="shared" si="139"/>
        <v>-</v>
      </c>
      <c r="AJ307" s="82">
        <f t="shared" si="140"/>
        <v>7</v>
      </c>
      <c r="AK307" s="82" t="str">
        <f t="shared" si="141"/>
        <v>-</v>
      </c>
      <c r="AL307" s="82" t="str">
        <f t="shared" si="142"/>
        <v>Identifica este registro como MUJER</v>
      </c>
      <c r="AM307" s="82" t="str">
        <f t="shared" si="143"/>
        <v>-</v>
      </c>
      <c r="AN307" s="82" t="str">
        <f t="shared" si="144"/>
        <v>-</v>
      </c>
      <c r="AO307" s="82" t="str">
        <f t="shared" si="145"/>
        <v>-</v>
      </c>
      <c r="AP307" s="57" t="str">
        <f t="shared" si="146"/>
        <v>-</v>
      </c>
      <c r="AQ307" s="86" t="str">
        <f t="shared" si="147"/>
        <v>-</v>
      </c>
      <c r="AR307" s="86" t="str">
        <f>IF(N307="","PRIMER_DIA en blanco",
IF(AND(M307="01",N307&gt;=L_Conversion!$C$118,N307&lt;=L_Conversion!$D$118),"-",
IF(AND(M307="02",N307&gt;=L_Conversion!$C$119,N307&lt;=L_Conversion!$D$119),"-",
IF(AND(M307="03",N307&gt;=L_Conversion!$C$120,N307&lt;=L_Conversion!$D$120),"-",
IF(AND(M307="04",N307&gt;=L_Conversion!$C$121,N307&lt;=L_Conversion!$D$121),"-",
IF(AND(M307="05",N307&gt;=L_Conversion!$C$122,N307&lt;=L_Conversion!$D$122),"-",
IF(AND(M307="06",N307&gt;=L_Conversion!$C$123,N307&lt;=L_Conversion!$D$123),"-",
IF(AND(M307="07",N307&gt;=L_Conversion!$C$124,N307&lt;=L_Conversion!$D$124),"-",
IF(AND(M307="08",N307&gt;=L_Conversion!$C$125,N307&lt;=L_Conversion!$D$125),"-",
IF(AND(M307="09",N307&gt;=L_Conversion!$C$126,N307&lt;=L_Conversion!$D$126),"-",
IF(AND(M307="10",N307&gt;=L_Conversion!$C$127,N307&lt;=L_Conversion!$D$127),"-",
IF(AND(M307="11",N307&gt;=L_Conversion!$C$128,N307&lt;=L_Conversion!$D$128),"-",
IF(AND(M307="12",N307&gt;=L_Conversion!$C$129,N307&lt;=L_Conversion!$D$129),"-",
IF(AND(M307="13",N307&gt;=L_Conversion!$C$116,N307&lt;=L_Conversion!$D$116),"-",
IF(AND(M307="14",N307&gt;=L_Conversion!$C$117,N307&lt;=L_Conversion!$D$117),"-",
"PRIMER_DIA fuera de rango")))))))))))))))</f>
        <v>-</v>
      </c>
      <c r="AS307" s="86" t="str">
        <f t="shared" si="148"/>
        <v>-</v>
      </c>
      <c r="AT307" s="86" t="str">
        <f t="shared" si="149"/>
        <v>-</v>
      </c>
      <c r="AU307" s="86" t="str">
        <f t="shared" si="150"/>
        <v>-</v>
      </c>
      <c r="AV307" s="86" t="str">
        <f t="shared" si="151"/>
        <v>-</v>
      </c>
      <c r="AW307" s="86" t="str">
        <f t="shared" si="152"/>
        <v>-</v>
      </c>
      <c r="AX307" s="86" t="str">
        <f t="shared" si="153"/>
        <v>-</v>
      </c>
      <c r="AY307" s="86" t="str">
        <f t="shared" si="154"/>
        <v>-</v>
      </c>
      <c r="AZ307" s="86" t="str">
        <f t="shared" si="155"/>
        <v>-</v>
      </c>
      <c r="BA307" s="86" t="str">
        <f t="shared" si="156"/>
        <v>-</v>
      </c>
      <c r="BB307" s="86" t="str">
        <f t="shared" si="157"/>
        <v>-</v>
      </c>
      <c r="BC307" s="86" t="str">
        <f t="shared" si="158"/>
        <v>-</v>
      </c>
      <c r="BD307" s="86" t="str">
        <f t="shared" si="159"/>
        <v>-</v>
      </c>
      <c r="BE307" s="86" t="str">
        <f t="shared" si="160"/>
        <v>-</v>
      </c>
      <c r="BF307" s="86" t="str">
        <f t="shared" si="161"/>
        <v>-</v>
      </c>
    </row>
    <row r="308" spans="1:58" x14ac:dyDescent="0.2">
      <c r="A308" s="19" t="s">
        <v>1144</v>
      </c>
      <c r="B308" s="19" t="s">
        <v>76</v>
      </c>
      <c r="C308" s="19">
        <v>17594431</v>
      </c>
      <c r="D308" s="81">
        <v>1</v>
      </c>
      <c r="E308" s="19" t="s">
        <v>1630</v>
      </c>
      <c r="F308" s="19" t="s">
        <v>1516</v>
      </c>
      <c r="G308" s="19" t="s">
        <v>1631</v>
      </c>
      <c r="H308" s="19" t="s">
        <v>1033</v>
      </c>
      <c r="I308" s="19" t="s">
        <v>663</v>
      </c>
      <c r="J308" s="19">
        <v>80</v>
      </c>
      <c r="K308" s="19" t="s">
        <v>563</v>
      </c>
      <c r="L308" s="19" t="s">
        <v>516</v>
      </c>
      <c r="M308" s="19" t="s">
        <v>16</v>
      </c>
      <c r="N308" s="19">
        <v>45738</v>
      </c>
      <c r="O308" s="19">
        <v>84</v>
      </c>
      <c r="P308" s="81">
        <v>8</v>
      </c>
      <c r="Q308" s="19" t="s">
        <v>23</v>
      </c>
      <c r="R308" s="19" t="s">
        <v>11</v>
      </c>
      <c r="S308" s="19" t="s">
        <v>23</v>
      </c>
      <c r="T308" s="19">
        <v>84</v>
      </c>
      <c r="U308" s="19" t="s">
        <v>11</v>
      </c>
      <c r="V308" s="19" t="s">
        <v>11</v>
      </c>
      <c r="W308" s="19" t="s">
        <v>11</v>
      </c>
      <c r="X308" s="19">
        <v>0</v>
      </c>
      <c r="Y308" s="19" t="s">
        <v>741</v>
      </c>
      <c r="Z308" s="19">
        <v>0</v>
      </c>
      <c r="AA308" s="19">
        <v>0</v>
      </c>
      <c r="AB308" s="19">
        <v>0</v>
      </c>
      <c r="AC308" s="178" t="str">
        <f>IF(OR(M308="13",M308="14",P308=8),"",IF(AND(OR(S308="AUTORIZADO", S308="PENDIENTE", S308="REDUCIDO", S308="AMPLIADO"),L308&lt;&gt;"HONORARIO" ), CONCATENATE(IF(H308="X","H",H308),"_",IF(OR(P308=5,P308=6),_xlfn.CONCAT(P308,"A"),P308),"_",VLOOKUP(T308,Datos!$B$2:$C$5,2,TRUE)),""))</f>
        <v/>
      </c>
      <c r="AD308" s="178">
        <f t="shared" si="135"/>
        <v>0</v>
      </c>
      <c r="AE308" s="82" t="str">
        <f t="shared" si="136"/>
        <v>-</v>
      </c>
      <c r="AF308" s="83" t="str">
        <f t="shared" si="137"/>
        <v>070601</v>
      </c>
      <c r="AG308" s="84"/>
      <c r="AH308" s="85" t="str">
        <f t="shared" si="138"/>
        <v>Corporación de Fomento de la Producción</v>
      </c>
      <c r="AI308" s="82" t="str">
        <f t="shared" si="139"/>
        <v>-</v>
      </c>
      <c r="AJ308" s="82">
        <f t="shared" si="140"/>
        <v>1</v>
      </c>
      <c r="AK308" s="82" t="str">
        <f t="shared" si="141"/>
        <v>-</v>
      </c>
      <c r="AL308" s="82" t="str">
        <f t="shared" si="142"/>
        <v>Identifica este registro como MUJER</v>
      </c>
      <c r="AM308" s="82" t="str">
        <f t="shared" si="143"/>
        <v>-</v>
      </c>
      <c r="AN308" s="82" t="str">
        <f t="shared" si="144"/>
        <v>-</v>
      </c>
      <c r="AO308" s="82" t="str">
        <f t="shared" si="145"/>
        <v>-</v>
      </c>
      <c r="AP308" s="57" t="str">
        <f t="shared" si="146"/>
        <v>-</v>
      </c>
      <c r="AQ308" s="86" t="str">
        <f t="shared" si="147"/>
        <v>-</v>
      </c>
      <c r="AR308" s="86" t="str">
        <f>IF(N308="","PRIMER_DIA en blanco",
IF(AND(M308="01",N308&gt;=L_Conversion!$C$118,N308&lt;=L_Conversion!$D$118),"-",
IF(AND(M308="02",N308&gt;=L_Conversion!$C$119,N308&lt;=L_Conversion!$D$119),"-",
IF(AND(M308="03",N308&gt;=L_Conversion!$C$120,N308&lt;=L_Conversion!$D$120),"-",
IF(AND(M308="04",N308&gt;=L_Conversion!$C$121,N308&lt;=L_Conversion!$D$121),"-",
IF(AND(M308="05",N308&gt;=L_Conversion!$C$122,N308&lt;=L_Conversion!$D$122),"-",
IF(AND(M308="06",N308&gt;=L_Conversion!$C$123,N308&lt;=L_Conversion!$D$123),"-",
IF(AND(M308="07",N308&gt;=L_Conversion!$C$124,N308&lt;=L_Conversion!$D$124),"-",
IF(AND(M308="08",N308&gt;=L_Conversion!$C$125,N308&lt;=L_Conversion!$D$125),"-",
IF(AND(M308="09",N308&gt;=L_Conversion!$C$126,N308&lt;=L_Conversion!$D$126),"-",
IF(AND(M308="10",N308&gt;=L_Conversion!$C$127,N308&lt;=L_Conversion!$D$127),"-",
IF(AND(M308="11",N308&gt;=L_Conversion!$C$128,N308&lt;=L_Conversion!$D$128),"-",
IF(AND(M308="12",N308&gt;=L_Conversion!$C$129,N308&lt;=L_Conversion!$D$129),"-",
IF(AND(M308="13",N308&gt;=L_Conversion!$C$116,N308&lt;=L_Conversion!$D$116),"-",
IF(AND(M308="14",N308&gt;=L_Conversion!$C$117,N308&lt;=L_Conversion!$D$117),"-",
"PRIMER_DIA fuera de rango")))))))))))))))</f>
        <v>-</v>
      </c>
      <c r="AS308" s="86" t="str">
        <f t="shared" si="148"/>
        <v>-</v>
      </c>
      <c r="AT308" s="86" t="str">
        <f t="shared" si="149"/>
        <v>-</v>
      </c>
      <c r="AU308" s="86" t="str">
        <f t="shared" si="150"/>
        <v>-</v>
      </c>
      <c r="AV308" s="86" t="str">
        <f t="shared" si="151"/>
        <v>-</v>
      </c>
      <c r="AW308" s="86" t="str">
        <f t="shared" si="152"/>
        <v>-</v>
      </c>
      <c r="AX308" s="86" t="str">
        <f t="shared" si="153"/>
        <v>-</v>
      </c>
      <c r="AY308" s="86" t="str">
        <f t="shared" si="154"/>
        <v>-</v>
      </c>
      <c r="AZ308" s="86" t="str">
        <f t="shared" si="155"/>
        <v>-</v>
      </c>
      <c r="BA308" s="86" t="str">
        <f t="shared" si="156"/>
        <v>-</v>
      </c>
      <c r="BB308" s="86" t="str">
        <f t="shared" si="157"/>
        <v>-</v>
      </c>
      <c r="BC308" s="86" t="str">
        <f t="shared" si="158"/>
        <v>-</v>
      </c>
      <c r="BD308" s="86" t="str">
        <f t="shared" si="159"/>
        <v>-</v>
      </c>
      <c r="BE308" s="86" t="str">
        <f t="shared" si="160"/>
        <v>-</v>
      </c>
      <c r="BF308" s="86" t="str">
        <f t="shared" si="161"/>
        <v>-</v>
      </c>
    </row>
    <row r="309" spans="1:58" x14ac:dyDescent="0.2">
      <c r="A309" s="19" t="s">
        <v>1144</v>
      </c>
      <c r="B309" s="19" t="s">
        <v>76</v>
      </c>
      <c r="C309" s="19">
        <v>16941040</v>
      </c>
      <c r="D309" s="81">
        <v>2</v>
      </c>
      <c r="E309" s="19" t="s">
        <v>1433</v>
      </c>
      <c r="F309" s="19" t="s">
        <v>1168</v>
      </c>
      <c r="G309" s="19" t="s">
        <v>1434</v>
      </c>
      <c r="H309" s="19" t="s">
        <v>663</v>
      </c>
      <c r="I309" s="19" t="s">
        <v>662</v>
      </c>
      <c r="J309" s="19">
        <v>80</v>
      </c>
      <c r="K309" s="19" t="s">
        <v>563</v>
      </c>
      <c r="L309" s="19" t="s">
        <v>502</v>
      </c>
      <c r="M309" s="19" t="s">
        <v>16</v>
      </c>
      <c r="N309" s="19">
        <v>45740</v>
      </c>
      <c r="O309" s="19">
        <v>3</v>
      </c>
      <c r="P309" s="81">
        <v>1</v>
      </c>
      <c r="Q309" s="19" t="s">
        <v>23</v>
      </c>
      <c r="R309" s="19" t="s">
        <v>11</v>
      </c>
      <c r="S309" s="19" t="s">
        <v>23</v>
      </c>
      <c r="T309" s="19">
        <v>3</v>
      </c>
      <c r="U309" s="19" t="s">
        <v>11</v>
      </c>
      <c r="V309" s="19" t="s">
        <v>19</v>
      </c>
      <c r="W309" s="19" t="s">
        <v>19</v>
      </c>
      <c r="X309" s="19">
        <v>60184</v>
      </c>
      <c r="Y309" s="19" t="s">
        <v>735</v>
      </c>
      <c r="Z309" s="19">
        <v>3</v>
      </c>
      <c r="AA309" s="19">
        <v>60184</v>
      </c>
      <c r="AB309" s="19">
        <v>60184</v>
      </c>
      <c r="AC309" s="178" t="str">
        <f>IF(OR(M309="13",M309="14",P309=8),"",IF(AND(OR(S309="AUTORIZADO", S309="PENDIENTE", S309="REDUCIDO", S309="AMPLIADO"),L309&lt;&gt;"HONORARIO" ), CONCATENATE(IF(H309="X","H",H309),"_",IF(OR(P309=5,P309=6),_xlfn.CONCAT(P309,"A"),P309),"_",VLOOKUP(T309,Datos!$B$2:$C$5,2,TRUE)),""))</f>
        <v>H_1_[hasta 3]</v>
      </c>
      <c r="AD309" s="178">
        <f t="shared" si="135"/>
        <v>120368</v>
      </c>
      <c r="AE309" s="82" t="str">
        <f t="shared" si="136"/>
        <v>-</v>
      </c>
      <c r="AF309" s="83" t="str">
        <f t="shared" si="137"/>
        <v>070601</v>
      </c>
      <c r="AG309" s="84"/>
      <c r="AH309" s="85" t="str">
        <f t="shared" si="138"/>
        <v>Corporación de Fomento de la Producción</v>
      </c>
      <c r="AI309" s="82" t="str">
        <f t="shared" si="139"/>
        <v>-</v>
      </c>
      <c r="AJ309" s="82">
        <f t="shared" si="140"/>
        <v>2</v>
      </c>
      <c r="AK309" s="82" t="str">
        <f t="shared" si="141"/>
        <v>-</v>
      </c>
      <c r="AL309" s="82" t="str">
        <f t="shared" si="142"/>
        <v>Identifica este registro como HOMBRE</v>
      </c>
      <c r="AM309" s="82" t="str">
        <f t="shared" si="143"/>
        <v>-</v>
      </c>
      <c r="AN309" s="82" t="str">
        <f t="shared" si="144"/>
        <v>-</v>
      </c>
      <c r="AO309" s="82" t="str">
        <f t="shared" si="145"/>
        <v>-</v>
      </c>
      <c r="AP309" s="57" t="str">
        <f t="shared" si="146"/>
        <v>-</v>
      </c>
      <c r="AQ309" s="86" t="str">
        <f t="shared" si="147"/>
        <v>-</v>
      </c>
      <c r="AR309" s="86" t="str">
        <f>IF(N309="","PRIMER_DIA en blanco",
IF(AND(M309="01",N309&gt;=L_Conversion!$C$118,N309&lt;=L_Conversion!$D$118),"-",
IF(AND(M309="02",N309&gt;=L_Conversion!$C$119,N309&lt;=L_Conversion!$D$119),"-",
IF(AND(M309="03",N309&gt;=L_Conversion!$C$120,N309&lt;=L_Conversion!$D$120),"-",
IF(AND(M309="04",N309&gt;=L_Conversion!$C$121,N309&lt;=L_Conversion!$D$121),"-",
IF(AND(M309="05",N309&gt;=L_Conversion!$C$122,N309&lt;=L_Conversion!$D$122),"-",
IF(AND(M309="06",N309&gt;=L_Conversion!$C$123,N309&lt;=L_Conversion!$D$123),"-",
IF(AND(M309="07",N309&gt;=L_Conversion!$C$124,N309&lt;=L_Conversion!$D$124),"-",
IF(AND(M309="08",N309&gt;=L_Conversion!$C$125,N309&lt;=L_Conversion!$D$125),"-",
IF(AND(M309="09",N309&gt;=L_Conversion!$C$126,N309&lt;=L_Conversion!$D$126),"-",
IF(AND(M309="10",N309&gt;=L_Conversion!$C$127,N309&lt;=L_Conversion!$D$127),"-",
IF(AND(M309="11",N309&gt;=L_Conversion!$C$128,N309&lt;=L_Conversion!$D$128),"-",
IF(AND(M309="12",N309&gt;=L_Conversion!$C$129,N309&lt;=L_Conversion!$D$129),"-",
IF(AND(M309="13",N309&gt;=L_Conversion!$C$116,N309&lt;=L_Conversion!$D$116),"-",
IF(AND(M309="14",N309&gt;=L_Conversion!$C$117,N309&lt;=L_Conversion!$D$117),"-",
"PRIMER_DIA fuera de rango")))))))))))))))</f>
        <v>-</v>
      </c>
      <c r="AS309" s="86" t="str">
        <f t="shared" si="148"/>
        <v>-</v>
      </c>
      <c r="AT309" s="86" t="str">
        <f t="shared" si="149"/>
        <v>-</v>
      </c>
      <c r="AU309" s="86" t="str">
        <f t="shared" si="150"/>
        <v>-</v>
      </c>
      <c r="AV309" s="86" t="str">
        <f t="shared" si="151"/>
        <v>-</v>
      </c>
      <c r="AW309" s="86" t="str">
        <f t="shared" si="152"/>
        <v>-</v>
      </c>
      <c r="AX309" s="86" t="str">
        <f t="shared" si="153"/>
        <v>-</v>
      </c>
      <c r="AY309" s="86" t="str">
        <f t="shared" si="154"/>
        <v>-</v>
      </c>
      <c r="AZ309" s="86" t="str">
        <f t="shared" si="155"/>
        <v>-</v>
      </c>
      <c r="BA309" s="86" t="str">
        <f t="shared" si="156"/>
        <v>-</v>
      </c>
      <c r="BB309" s="86" t="str">
        <f t="shared" si="157"/>
        <v>-</v>
      </c>
      <c r="BC309" s="86" t="str">
        <f t="shared" si="158"/>
        <v>-</v>
      </c>
      <c r="BD309" s="86" t="str">
        <f t="shared" si="159"/>
        <v>-</v>
      </c>
      <c r="BE309" s="86" t="str">
        <f t="shared" si="160"/>
        <v>-</v>
      </c>
      <c r="BF309" s="86" t="str">
        <f t="shared" si="161"/>
        <v>-</v>
      </c>
    </row>
    <row r="310" spans="1:58" x14ac:dyDescent="0.2">
      <c r="A310" s="19" t="s">
        <v>1144</v>
      </c>
      <c r="B310" s="19" t="s">
        <v>76</v>
      </c>
      <c r="C310" s="19">
        <v>13420676</v>
      </c>
      <c r="D310" s="81">
        <v>4</v>
      </c>
      <c r="E310" s="19" t="s">
        <v>1194</v>
      </c>
      <c r="F310" s="19" t="s">
        <v>1206</v>
      </c>
      <c r="G310" s="19" t="s">
        <v>1632</v>
      </c>
      <c r="H310" s="19" t="s">
        <v>663</v>
      </c>
      <c r="I310" s="19" t="s">
        <v>662</v>
      </c>
      <c r="J310" s="19">
        <v>80</v>
      </c>
      <c r="K310" s="19" t="s">
        <v>563</v>
      </c>
      <c r="L310" s="19" t="s">
        <v>502</v>
      </c>
      <c r="M310" s="19" t="s">
        <v>16</v>
      </c>
      <c r="N310" s="19">
        <v>45740</v>
      </c>
      <c r="O310" s="19">
        <v>21</v>
      </c>
      <c r="P310" s="81">
        <v>1</v>
      </c>
      <c r="Q310" s="19" t="s">
        <v>23</v>
      </c>
      <c r="R310" s="19" t="s">
        <v>11</v>
      </c>
      <c r="S310" s="19" t="s">
        <v>23</v>
      </c>
      <c r="T310" s="19">
        <v>21</v>
      </c>
      <c r="U310" s="19" t="s">
        <v>11</v>
      </c>
      <c r="V310" s="19" t="s">
        <v>11</v>
      </c>
      <c r="W310" s="19" t="s">
        <v>19</v>
      </c>
      <c r="X310" s="19">
        <v>1741405</v>
      </c>
      <c r="Y310" s="19" t="s">
        <v>735</v>
      </c>
      <c r="Z310" s="19">
        <v>21</v>
      </c>
      <c r="AA310" s="19">
        <v>1741405</v>
      </c>
      <c r="AB310" s="19">
        <v>1741405</v>
      </c>
      <c r="AC310" s="178" t="str">
        <f>IF(OR(M310="13",M310="14",P310=8),"",IF(AND(OR(S310="AUTORIZADO", S310="PENDIENTE", S310="REDUCIDO", S310="AMPLIADO"),L310&lt;&gt;"HONORARIO" ), CONCATENATE(IF(H310="X","H",H310),"_",IF(OR(P310=5,P310=6),_xlfn.CONCAT(P310,"A"),P310),"_",VLOOKUP(T310,Datos!$B$2:$C$5,2,TRUE)),""))</f>
        <v>H_1_[11 +]</v>
      </c>
      <c r="AD310" s="178">
        <f t="shared" si="135"/>
        <v>3482810</v>
      </c>
      <c r="AE310" s="82" t="str">
        <f t="shared" si="136"/>
        <v>-</v>
      </c>
      <c r="AF310" s="83" t="str">
        <f t="shared" si="137"/>
        <v>070601</v>
      </c>
      <c r="AG310" s="84"/>
      <c r="AH310" s="85" t="str">
        <f t="shared" si="138"/>
        <v>Corporación de Fomento de la Producción</v>
      </c>
      <c r="AI310" s="82" t="str">
        <f t="shared" si="139"/>
        <v>-</v>
      </c>
      <c r="AJ310" s="82">
        <f t="shared" si="140"/>
        <v>4</v>
      </c>
      <c r="AK310" s="82" t="str">
        <f t="shared" si="141"/>
        <v>-</v>
      </c>
      <c r="AL310" s="82" t="str">
        <f t="shared" si="142"/>
        <v>Identifica este registro como HOMBRE</v>
      </c>
      <c r="AM310" s="82" t="str">
        <f t="shared" si="143"/>
        <v>-</v>
      </c>
      <c r="AN310" s="82" t="str">
        <f t="shared" si="144"/>
        <v>-</v>
      </c>
      <c r="AO310" s="82" t="str">
        <f t="shared" si="145"/>
        <v>-</v>
      </c>
      <c r="AP310" s="57" t="str">
        <f t="shared" si="146"/>
        <v>-</v>
      </c>
      <c r="AQ310" s="86" t="str">
        <f t="shared" si="147"/>
        <v>-</v>
      </c>
      <c r="AR310" s="86" t="str">
        <f>IF(N310="","PRIMER_DIA en blanco",
IF(AND(M310="01",N310&gt;=L_Conversion!$C$118,N310&lt;=L_Conversion!$D$118),"-",
IF(AND(M310="02",N310&gt;=L_Conversion!$C$119,N310&lt;=L_Conversion!$D$119),"-",
IF(AND(M310="03",N310&gt;=L_Conversion!$C$120,N310&lt;=L_Conversion!$D$120),"-",
IF(AND(M310="04",N310&gt;=L_Conversion!$C$121,N310&lt;=L_Conversion!$D$121),"-",
IF(AND(M310="05",N310&gt;=L_Conversion!$C$122,N310&lt;=L_Conversion!$D$122),"-",
IF(AND(M310="06",N310&gt;=L_Conversion!$C$123,N310&lt;=L_Conversion!$D$123),"-",
IF(AND(M310="07",N310&gt;=L_Conversion!$C$124,N310&lt;=L_Conversion!$D$124),"-",
IF(AND(M310="08",N310&gt;=L_Conversion!$C$125,N310&lt;=L_Conversion!$D$125),"-",
IF(AND(M310="09",N310&gt;=L_Conversion!$C$126,N310&lt;=L_Conversion!$D$126),"-",
IF(AND(M310="10",N310&gt;=L_Conversion!$C$127,N310&lt;=L_Conversion!$D$127),"-",
IF(AND(M310="11",N310&gt;=L_Conversion!$C$128,N310&lt;=L_Conversion!$D$128),"-",
IF(AND(M310="12",N310&gt;=L_Conversion!$C$129,N310&lt;=L_Conversion!$D$129),"-",
IF(AND(M310="13",N310&gt;=L_Conversion!$C$116,N310&lt;=L_Conversion!$D$116),"-",
IF(AND(M310="14",N310&gt;=L_Conversion!$C$117,N310&lt;=L_Conversion!$D$117),"-",
"PRIMER_DIA fuera de rango")))))))))))))))</f>
        <v>-</v>
      </c>
      <c r="AS310" s="86" t="str">
        <f t="shared" si="148"/>
        <v>-</v>
      </c>
      <c r="AT310" s="86" t="str">
        <f t="shared" si="149"/>
        <v>-</v>
      </c>
      <c r="AU310" s="86" t="str">
        <f t="shared" si="150"/>
        <v>-</v>
      </c>
      <c r="AV310" s="86" t="str">
        <f t="shared" si="151"/>
        <v>-</v>
      </c>
      <c r="AW310" s="86" t="str">
        <f t="shared" si="152"/>
        <v>-</v>
      </c>
      <c r="AX310" s="86" t="str">
        <f t="shared" si="153"/>
        <v>-</v>
      </c>
      <c r="AY310" s="86" t="str">
        <f t="shared" si="154"/>
        <v>-</v>
      </c>
      <c r="AZ310" s="86" t="str">
        <f t="shared" si="155"/>
        <v>-</v>
      </c>
      <c r="BA310" s="86" t="str">
        <f t="shared" si="156"/>
        <v>-</v>
      </c>
      <c r="BB310" s="86" t="str">
        <f t="shared" si="157"/>
        <v>-</v>
      </c>
      <c r="BC310" s="86" t="str">
        <f t="shared" si="158"/>
        <v>-</v>
      </c>
      <c r="BD310" s="86" t="str">
        <f t="shared" si="159"/>
        <v>-</v>
      </c>
      <c r="BE310" s="86" t="str">
        <f t="shared" si="160"/>
        <v>-</v>
      </c>
      <c r="BF310" s="86" t="str">
        <f t="shared" si="161"/>
        <v>-</v>
      </c>
    </row>
    <row r="311" spans="1:58" x14ac:dyDescent="0.2">
      <c r="A311" s="19" t="s">
        <v>1144</v>
      </c>
      <c r="B311" s="19" t="s">
        <v>76</v>
      </c>
      <c r="C311" s="19">
        <v>18876314</v>
      </c>
      <c r="D311" s="81">
        <v>6</v>
      </c>
      <c r="E311" s="19" t="s">
        <v>1541</v>
      </c>
      <c r="F311" s="19" t="s">
        <v>1633</v>
      </c>
      <c r="G311" s="19" t="s">
        <v>1634</v>
      </c>
      <c r="H311" s="19" t="s">
        <v>663</v>
      </c>
      <c r="I311" s="19" t="s">
        <v>662</v>
      </c>
      <c r="J311" s="19">
        <v>80</v>
      </c>
      <c r="K311" s="19" t="s">
        <v>563</v>
      </c>
      <c r="L311" s="19" t="s">
        <v>502</v>
      </c>
      <c r="M311" s="19" t="s">
        <v>16</v>
      </c>
      <c r="N311" s="19">
        <v>45740</v>
      </c>
      <c r="O311" s="19">
        <v>5</v>
      </c>
      <c r="P311" s="81">
        <v>1</v>
      </c>
      <c r="Q311" s="19" t="s">
        <v>23</v>
      </c>
      <c r="R311" s="19" t="s">
        <v>11</v>
      </c>
      <c r="S311" s="19" t="s">
        <v>23</v>
      </c>
      <c r="T311" s="19">
        <v>5</v>
      </c>
      <c r="U311" s="19" t="s">
        <v>11</v>
      </c>
      <c r="V311" s="19" t="s">
        <v>11</v>
      </c>
      <c r="W311" s="19" t="s">
        <v>19</v>
      </c>
      <c r="X311" s="19">
        <v>189156</v>
      </c>
      <c r="Y311" s="19" t="s">
        <v>735</v>
      </c>
      <c r="Z311" s="19">
        <v>5</v>
      </c>
      <c r="AA311" s="19">
        <v>189156</v>
      </c>
      <c r="AB311" s="19">
        <v>189156</v>
      </c>
      <c r="AC311" s="178" t="str">
        <f>IF(OR(M311="13",M311="14",P311=8),"",IF(AND(OR(S311="AUTORIZADO", S311="PENDIENTE", S311="REDUCIDO", S311="AMPLIADO"),L311&lt;&gt;"HONORARIO" ), CONCATENATE(IF(H311="X","H",H311),"_",IF(OR(P311=5,P311=6),_xlfn.CONCAT(P311,"A"),P311),"_",VLOOKUP(T311,Datos!$B$2:$C$5,2,TRUE)),""))</f>
        <v>H_1_[4 a 10]</v>
      </c>
      <c r="AD311" s="178">
        <f t="shared" si="135"/>
        <v>378312</v>
      </c>
      <c r="AE311" s="82" t="str">
        <f t="shared" si="136"/>
        <v>-</v>
      </c>
      <c r="AF311" s="83" t="str">
        <f t="shared" si="137"/>
        <v>070601</v>
      </c>
      <c r="AG311" s="84"/>
      <c r="AH311" s="85" t="str">
        <f t="shared" si="138"/>
        <v>Corporación de Fomento de la Producción</v>
      </c>
      <c r="AI311" s="82" t="str">
        <f t="shared" si="139"/>
        <v>-</v>
      </c>
      <c r="AJ311" s="82">
        <f t="shared" si="140"/>
        <v>6</v>
      </c>
      <c r="AK311" s="82" t="str">
        <f t="shared" si="141"/>
        <v>-</v>
      </c>
      <c r="AL311" s="82" t="str">
        <f t="shared" si="142"/>
        <v>Identifica este registro como HOMBRE</v>
      </c>
      <c r="AM311" s="82" t="str">
        <f t="shared" si="143"/>
        <v>-</v>
      </c>
      <c r="AN311" s="82" t="str">
        <f t="shared" si="144"/>
        <v>-</v>
      </c>
      <c r="AO311" s="82" t="str">
        <f t="shared" si="145"/>
        <v>-</v>
      </c>
      <c r="AP311" s="57" t="str">
        <f t="shared" si="146"/>
        <v>-</v>
      </c>
      <c r="AQ311" s="86" t="str">
        <f t="shared" si="147"/>
        <v>-</v>
      </c>
      <c r="AR311" s="86" t="str">
        <f>IF(N311="","PRIMER_DIA en blanco",
IF(AND(M311="01",N311&gt;=L_Conversion!$C$118,N311&lt;=L_Conversion!$D$118),"-",
IF(AND(M311="02",N311&gt;=L_Conversion!$C$119,N311&lt;=L_Conversion!$D$119),"-",
IF(AND(M311="03",N311&gt;=L_Conversion!$C$120,N311&lt;=L_Conversion!$D$120),"-",
IF(AND(M311="04",N311&gt;=L_Conversion!$C$121,N311&lt;=L_Conversion!$D$121),"-",
IF(AND(M311="05",N311&gt;=L_Conversion!$C$122,N311&lt;=L_Conversion!$D$122),"-",
IF(AND(M311="06",N311&gt;=L_Conversion!$C$123,N311&lt;=L_Conversion!$D$123),"-",
IF(AND(M311="07",N311&gt;=L_Conversion!$C$124,N311&lt;=L_Conversion!$D$124),"-",
IF(AND(M311="08",N311&gt;=L_Conversion!$C$125,N311&lt;=L_Conversion!$D$125),"-",
IF(AND(M311="09",N311&gt;=L_Conversion!$C$126,N311&lt;=L_Conversion!$D$126),"-",
IF(AND(M311="10",N311&gt;=L_Conversion!$C$127,N311&lt;=L_Conversion!$D$127),"-",
IF(AND(M311="11",N311&gt;=L_Conversion!$C$128,N311&lt;=L_Conversion!$D$128),"-",
IF(AND(M311="12",N311&gt;=L_Conversion!$C$129,N311&lt;=L_Conversion!$D$129),"-",
IF(AND(M311="13",N311&gt;=L_Conversion!$C$116,N311&lt;=L_Conversion!$D$116),"-",
IF(AND(M311="14",N311&gt;=L_Conversion!$C$117,N311&lt;=L_Conversion!$D$117),"-",
"PRIMER_DIA fuera de rango")))))))))))))))</f>
        <v>-</v>
      </c>
      <c r="AS311" s="86" t="str">
        <f t="shared" si="148"/>
        <v>-</v>
      </c>
      <c r="AT311" s="86" t="str">
        <f t="shared" si="149"/>
        <v>-</v>
      </c>
      <c r="AU311" s="86" t="str">
        <f t="shared" si="150"/>
        <v>-</v>
      </c>
      <c r="AV311" s="86" t="str">
        <f t="shared" si="151"/>
        <v>-</v>
      </c>
      <c r="AW311" s="86" t="str">
        <f t="shared" si="152"/>
        <v>-</v>
      </c>
      <c r="AX311" s="86" t="str">
        <f t="shared" si="153"/>
        <v>-</v>
      </c>
      <c r="AY311" s="86" t="str">
        <f t="shared" si="154"/>
        <v>-</v>
      </c>
      <c r="AZ311" s="86" t="str">
        <f t="shared" si="155"/>
        <v>-</v>
      </c>
      <c r="BA311" s="86" t="str">
        <f t="shared" si="156"/>
        <v>-</v>
      </c>
      <c r="BB311" s="86" t="str">
        <f t="shared" si="157"/>
        <v>-</v>
      </c>
      <c r="BC311" s="86" t="str">
        <f t="shared" si="158"/>
        <v>-</v>
      </c>
      <c r="BD311" s="86" t="str">
        <f t="shared" si="159"/>
        <v>-</v>
      </c>
      <c r="BE311" s="86" t="str">
        <f t="shared" si="160"/>
        <v>-</v>
      </c>
      <c r="BF311" s="86" t="str">
        <f t="shared" si="161"/>
        <v>-</v>
      </c>
    </row>
    <row r="312" spans="1:58" x14ac:dyDescent="0.2">
      <c r="A312" s="19" t="s">
        <v>1144</v>
      </c>
      <c r="B312" s="19" t="s">
        <v>678</v>
      </c>
      <c r="C312" s="19">
        <v>13830596</v>
      </c>
      <c r="D312" s="81">
        <v>1</v>
      </c>
      <c r="E312" s="19" t="s">
        <v>1635</v>
      </c>
      <c r="F312" s="19" t="s">
        <v>1636</v>
      </c>
      <c r="G312" s="19" t="s">
        <v>1637</v>
      </c>
      <c r="H312" s="19" t="s">
        <v>663</v>
      </c>
      <c r="I312" s="19" t="s">
        <v>663</v>
      </c>
      <c r="J312" s="19">
        <v>80</v>
      </c>
      <c r="K312" s="19" t="s">
        <v>563</v>
      </c>
      <c r="L312" s="19" t="s">
        <v>516</v>
      </c>
      <c r="M312" s="19" t="s">
        <v>16</v>
      </c>
      <c r="N312" s="19">
        <v>45740</v>
      </c>
      <c r="O312" s="19">
        <v>2</v>
      </c>
      <c r="P312" s="81">
        <v>1</v>
      </c>
      <c r="Q312" s="19" t="s">
        <v>23</v>
      </c>
      <c r="R312" s="19" t="s">
        <v>11</v>
      </c>
      <c r="S312" s="19" t="s">
        <v>23</v>
      </c>
      <c r="T312" s="19">
        <v>2</v>
      </c>
      <c r="U312" s="19" t="s">
        <v>11</v>
      </c>
      <c r="V312" s="19" t="s">
        <v>19</v>
      </c>
      <c r="W312" s="19" t="s">
        <v>19</v>
      </c>
      <c r="X312" s="19">
        <v>42880</v>
      </c>
      <c r="Y312" s="19" t="s">
        <v>735</v>
      </c>
      <c r="Z312" s="19">
        <v>2</v>
      </c>
      <c r="AA312" s="19">
        <v>42880</v>
      </c>
      <c r="AB312" s="19">
        <v>42880</v>
      </c>
      <c r="AC312" s="178" t="str">
        <f>IF(OR(M312="13",M312="14",P312=8),"",IF(AND(OR(S312="AUTORIZADO", S312="PENDIENTE", S312="REDUCIDO", S312="AMPLIADO"),L312&lt;&gt;"HONORARIO" ), CONCATENATE(IF(H312="X","H",H312),"_",IF(OR(P312=5,P312=6),_xlfn.CONCAT(P312,"A"),P312),"_",VLOOKUP(T312,Datos!$B$2:$C$5,2,TRUE)),""))</f>
        <v>H_1_[hasta 3]</v>
      </c>
      <c r="AD312" s="178">
        <f t="shared" si="135"/>
        <v>85760</v>
      </c>
      <c r="AE312" s="82" t="str">
        <f t="shared" si="136"/>
        <v>-</v>
      </c>
      <c r="AF312" s="83" t="str">
        <f t="shared" si="137"/>
        <v>Revisar</v>
      </c>
      <c r="AG312" s="84"/>
      <c r="AH312" s="85" t="str">
        <f t="shared" si="138"/>
        <v>Corporación de Fomento de la Producción</v>
      </c>
      <c r="AI312" s="82" t="str">
        <f t="shared" si="139"/>
        <v>-</v>
      </c>
      <c r="AJ312" s="82">
        <f t="shared" si="140"/>
        <v>1</v>
      </c>
      <c r="AK312" s="82" t="str">
        <f t="shared" si="141"/>
        <v>-</v>
      </c>
      <c r="AL312" s="82" t="str">
        <f t="shared" si="142"/>
        <v>Identifica este registro como HOMBRE</v>
      </c>
      <c r="AM312" s="82" t="str">
        <f t="shared" si="143"/>
        <v>-</v>
      </c>
      <c r="AN312" s="82" t="str">
        <f t="shared" si="144"/>
        <v>-</v>
      </c>
      <c r="AO312" s="82" t="str">
        <f t="shared" si="145"/>
        <v>-</v>
      </c>
      <c r="AP312" s="57" t="str">
        <f t="shared" si="146"/>
        <v>-</v>
      </c>
      <c r="AQ312" s="86" t="str">
        <f t="shared" si="147"/>
        <v>-</v>
      </c>
      <c r="AR312" s="86" t="str">
        <f>IF(N312="","PRIMER_DIA en blanco",
IF(AND(M312="01",N312&gt;=L_Conversion!$C$118,N312&lt;=L_Conversion!$D$118),"-",
IF(AND(M312="02",N312&gt;=L_Conversion!$C$119,N312&lt;=L_Conversion!$D$119),"-",
IF(AND(M312="03",N312&gt;=L_Conversion!$C$120,N312&lt;=L_Conversion!$D$120),"-",
IF(AND(M312="04",N312&gt;=L_Conversion!$C$121,N312&lt;=L_Conversion!$D$121),"-",
IF(AND(M312="05",N312&gt;=L_Conversion!$C$122,N312&lt;=L_Conversion!$D$122),"-",
IF(AND(M312="06",N312&gt;=L_Conversion!$C$123,N312&lt;=L_Conversion!$D$123),"-",
IF(AND(M312="07",N312&gt;=L_Conversion!$C$124,N312&lt;=L_Conversion!$D$124),"-",
IF(AND(M312="08",N312&gt;=L_Conversion!$C$125,N312&lt;=L_Conversion!$D$125),"-",
IF(AND(M312="09",N312&gt;=L_Conversion!$C$126,N312&lt;=L_Conversion!$D$126),"-",
IF(AND(M312="10",N312&gt;=L_Conversion!$C$127,N312&lt;=L_Conversion!$D$127),"-",
IF(AND(M312="11",N312&gt;=L_Conversion!$C$128,N312&lt;=L_Conversion!$D$128),"-",
IF(AND(M312="12",N312&gt;=L_Conversion!$C$129,N312&lt;=L_Conversion!$D$129),"-",
IF(AND(M312="13",N312&gt;=L_Conversion!$C$116,N312&lt;=L_Conversion!$D$116),"-",
IF(AND(M312="14",N312&gt;=L_Conversion!$C$117,N312&lt;=L_Conversion!$D$117),"-",
"PRIMER_DIA fuera de rango")))))))))))))))</f>
        <v>-</v>
      </c>
      <c r="AS312" s="86" t="str">
        <f t="shared" si="148"/>
        <v>-</v>
      </c>
      <c r="AT312" s="86" t="str">
        <f t="shared" si="149"/>
        <v>-</v>
      </c>
      <c r="AU312" s="86" t="str">
        <f t="shared" si="150"/>
        <v>-</v>
      </c>
      <c r="AV312" s="86" t="str">
        <f t="shared" si="151"/>
        <v>-</v>
      </c>
      <c r="AW312" s="86" t="str">
        <f t="shared" si="152"/>
        <v>-</v>
      </c>
      <c r="AX312" s="86" t="str">
        <f t="shared" si="153"/>
        <v>-</v>
      </c>
      <c r="AY312" s="86" t="str">
        <f t="shared" si="154"/>
        <v>-</v>
      </c>
      <c r="AZ312" s="86" t="str">
        <f t="shared" si="155"/>
        <v>-</v>
      </c>
      <c r="BA312" s="86" t="str">
        <f t="shared" si="156"/>
        <v>-</v>
      </c>
      <c r="BB312" s="86" t="str">
        <f t="shared" si="157"/>
        <v>-</v>
      </c>
      <c r="BC312" s="86" t="str">
        <f t="shared" si="158"/>
        <v>-</v>
      </c>
      <c r="BD312" s="86" t="str">
        <f t="shared" si="159"/>
        <v>-</v>
      </c>
      <c r="BE312" s="86" t="str">
        <f t="shared" si="160"/>
        <v>-</v>
      </c>
      <c r="BF312" s="86" t="str">
        <f t="shared" si="161"/>
        <v>-</v>
      </c>
    </row>
    <row r="313" spans="1:58" x14ac:dyDescent="0.2">
      <c r="A313" s="19" t="s">
        <v>1144</v>
      </c>
      <c r="B313" s="19" t="s">
        <v>1252</v>
      </c>
      <c r="C313" s="19">
        <v>12669693</v>
      </c>
      <c r="D313" s="81">
        <v>0</v>
      </c>
      <c r="E313" s="19" t="s">
        <v>1638</v>
      </c>
      <c r="F313" s="19" t="s">
        <v>1639</v>
      </c>
      <c r="G313" s="19" t="s">
        <v>1640</v>
      </c>
      <c r="H313" s="19" t="s">
        <v>1033</v>
      </c>
      <c r="I313" s="19" t="s">
        <v>663</v>
      </c>
      <c r="J313" s="19">
        <v>80</v>
      </c>
      <c r="K313" s="19" t="s">
        <v>563</v>
      </c>
      <c r="L313" s="19" t="s">
        <v>516</v>
      </c>
      <c r="M313" s="19" t="s">
        <v>16</v>
      </c>
      <c r="N313" s="19">
        <v>45740</v>
      </c>
      <c r="O313" s="19">
        <v>11</v>
      </c>
      <c r="P313" s="81">
        <v>1</v>
      </c>
      <c r="Q313" s="19" t="s">
        <v>23</v>
      </c>
      <c r="R313" s="19" t="s">
        <v>11</v>
      </c>
      <c r="S313" s="19" t="s">
        <v>23</v>
      </c>
      <c r="T313" s="19">
        <v>11</v>
      </c>
      <c r="U313" s="19" t="s">
        <v>11</v>
      </c>
      <c r="V313" s="19" t="s">
        <v>11</v>
      </c>
      <c r="W313" s="19" t="s">
        <v>19</v>
      </c>
      <c r="X313" s="19">
        <v>11913</v>
      </c>
      <c r="Y313" s="19" t="s">
        <v>735</v>
      </c>
      <c r="Z313" s="19">
        <v>11</v>
      </c>
      <c r="AA313" s="19">
        <v>11913</v>
      </c>
      <c r="AB313" s="19">
        <v>11913</v>
      </c>
      <c r="AC313" s="178" t="str">
        <f>IF(OR(M313="13",M313="14",P313=8),"",IF(AND(OR(S313="AUTORIZADO", S313="PENDIENTE", S313="REDUCIDO", S313="AMPLIADO"),L313&lt;&gt;"HONORARIO" ), CONCATENATE(IF(H313="X","H",H313),"_",IF(OR(P313=5,P313=6),_xlfn.CONCAT(P313,"A"),P313),"_",VLOOKUP(T313,Datos!$B$2:$C$5,2,TRUE)),""))</f>
        <v>M_1_[11 +]</v>
      </c>
      <c r="AD313" s="178">
        <f t="shared" si="135"/>
        <v>23826</v>
      </c>
      <c r="AE313" s="82" t="str">
        <f t="shared" si="136"/>
        <v>-</v>
      </c>
      <c r="AF313" s="83" t="str">
        <f t="shared" si="137"/>
        <v>Revisar</v>
      </c>
      <c r="AG313" s="84"/>
      <c r="AH313" s="85" t="str">
        <f t="shared" si="138"/>
        <v>Corregir código servicio</v>
      </c>
      <c r="AI313" s="82" t="str">
        <f t="shared" si="139"/>
        <v>-</v>
      </c>
      <c r="AJ313" s="82">
        <f t="shared" si="140"/>
        <v>0</v>
      </c>
      <c r="AK313" s="82" t="str">
        <f t="shared" si="141"/>
        <v>-</v>
      </c>
      <c r="AL313" s="82" t="str">
        <f t="shared" si="142"/>
        <v>Identifica este registro como MUJER</v>
      </c>
      <c r="AM313" s="82" t="str">
        <f t="shared" si="143"/>
        <v>-</v>
      </c>
      <c r="AN313" s="82" t="str">
        <f t="shared" si="144"/>
        <v>-</v>
      </c>
      <c r="AO313" s="82" t="str">
        <f t="shared" si="145"/>
        <v>-</v>
      </c>
      <c r="AP313" s="57" t="str">
        <f t="shared" si="146"/>
        <v>-</v>
      </c>
      <c r="AQ313" s="86" t="str">
        <f t="shared" si="147"/>
        <v>-</v>
      </c>
      <c r="AR313" s="86" t="str">
        <f>IF(N313="","PRIMER_DIA en blanco",
IF(AND(M313="01",N313&gt;=L_Conversion!$C$118,N313&lt;=L_Conversion!$D$118),"-",
IF(AND(M313="02",N313&gt;=L_Conversion!$C$119,N313&lt;=L_Conversion!$D$119),"-",
IF(AND(M313="03",N313&gt;=L_Conversion!$C$120,N313&lt;=L_Conversion!$D$120),"-",
IF(AND(M313="04",N313&gt;=L_Conversion!$C$121,N313&lt;=L_Conversion!$D$121),"-",
IF(AND(M313="05",N313&gt;=L_Conversion!$C$122,N313&lt;=L_Conversion!$D$122),"-",
IF(AND(M313="06",N313&gt;=L_Conversion!$C$123,N313&lt;=L_Conversion!$D$123),"-",
IF(AND(M313="07",N313&gt;=L_Conversion!$C$124,N313&lt;=L_Conversion!$D$124),"-",
IF(AND(M313="08",N313&gt;=L_Conversion!$C$125,N313&lt;=L_Conversion!$D$125),"-",
IF(AND(M313="09",N313&gt;=L_Conversion!$C$126,N313&lt;=L_Conversion!$D$126),"-",
IF(AND(M313="10",N313&gt;=L_Conversion!$C$127,N313&lt;=L_Conversion!$D$127),"-",
IF(AND(M313="11",N313&gt;=L_Conversion!$C$128,N313&lt;=L_Conversion!$D$128),"-",
IF(AND(M313="12",N313&gt;=L_Conversion!$C$129,N313&lt;=L_Conversion!$D$129),"-",
IF(AND(M313="13",N313&gt;=L_Conversion!$C$116,N313&lt;=L_Conversion!$D$116),"-",
IF(AND(M313="14",N313&gt;=L_Conversion!$C$117,N313&lt;=L_Conversion!$D$117),"-",
"PRIMER_DIA fuera de rango")))))))))))))))</f>
        <v>-</v>
      </c>
      <c r="AS313" s="86" t="str">
        <f t="shared" si="148"/>
        <v>-</v>
      </c>
      <c r="AT313" s="86" t="str">
        <f t="shared" si="149"/>
        <v>-</v>
      </c>
      <c r="AU313" s="86" t="str">
        <f t="shared" si="150"/>
        <v>-</v>
      </c>
      <c r="AV313" s="86" t="str">
        <f t="shared" si="151"/>
        <v>-</v>
      </c>
      <c r="AW313" s="86" t="str">
        <f t="shared" si="152"/>
        <v>-</v>
      </c>
      <c r="AX313" s="86" t="str">
        <f t="shared" si="153"/>
        <v>-</v>
      </c>
      <c r="AY313" s="86" t="str">
        <f t="shared" si="154"/>
        <v>-</v>
      </c>
      <c r="AZ313" s="86" t="str">
        <f t="shared" si="155"/>
        <v>-</v>
      </c>
      <c r="BA313" s="86" t="str">
        <f t="shared" si="156"/>
        <v>-</v>
      </c>
      <c r="BB313" s="86" t="str">
        <f t="shared" si="157"/>
        <v>-</v>
      </c>
      <c r="BC313" s="86" t="str">
        <f t="shared" si="158"/>
        <v>-</v>
      </c>
      <c r="BD313" s="86" t="str">
        <f t="shared" si="159"/>
        <v>-</v>
      </c>
      <c r="BE313" s="86" t="str">
        <f t="shared" si="160"/>
        <v>-</v>
      </c>
      <c r="BF313" s="86" t="str">
        <f t="shared" si="161"/>
        <v>-</v>
      </c>
    </row>
    <row r="314" spans="1:58" x14ac:dyDescent="0.2">
      <c r="A314" s="19" t="s">
        <v>1144</v>
      </c>
      <c r="B314" s="19" t="s">
        <v>887</v>
      </c>
      <c r="C314" s="19">
        <v>13496357</v>
      </c>
      <c r="D314" s="81">
        <v>3</v>
      </c>
      <c r="E314" s="19" t="s">
        <v>1145</v>
      </c>
      <c r="F314" s="19" t="s">
        <v>1641</v>
      </c>
      <c r="G314" s="19" t="s">
        <v>1642</v>
      </c>
      <c r="H314" s="19" t="s">
        <v>1033</v>
      </c>
      <c r="I314" s="19" t="s">
        <v>662</v>
      </c>
      <c r="J314" s="19">
        <v>80</v>
      </c>
      <c r="K314" s="19" t="s">
        <v>563</v>
      </c>
      <c r="L314" s="19" t="s">
        <v>502</v>
      </c>
      <c r="M314" s="19" t="s">
        <v>16</v>
      </c>
      <c r="N314" s="19">
        <v>45740</v>
      </c>
      <c r="O314" s="19">
        <v>5</v>
      </c>
      <c r="P314" s="81">
        <v>1</v>
      </c>
      <c r="Q314" s="19" t="s">
        <v>23</v>
      </c>
      <c r="R314" s="19" t="s">
        <v>11</v>
      </c>
      <c r="S314" s="19" t="s">
        <v>23</v>
      </c>
      <c r="T314" s="19">
        <v>5</v>
      </c>
      <c r="U314" s="19" t="s">
        <v>11</v>
      </c>
      <c r="V314" s="19" t="s">
        <v>11</v>
      </c>
      <c r="W314" s="19" t="s">
        <v>19</v>
      </c>
      <c r="X314" s="19">
        <v>293190</v>
      </c>
      <c r="Y314" s="19" t="s">
        <v>735</v>
      </c>
      <c r="Z314" s="19">
        <v>5</v>
      </c>
      <c r="AA314" s="19">
        <v>293190</v>
      </c>
      <c r="AB314" s="19">
        <v>293190</v>
      </c>
      <c r="AC314" s="178" t="str">
        <f>IF(OR(M314="13",M314="14",P314=8),"",IF(AND(OR(S314="AUTORIZADO", S314="PENDIENTE", S314="REDUCIDO", S314="AMPLIADO"),L314&lt;&gt;"HONORARIO" ), CONCATENATE(IF(H314="X","H",H314),"_",IF(OR(P314=5,P314=6),_xlfn.CONCAT(P314,"A"),P314),"_",VLOOKUP(T314,Datos!$B$2:$C$5,2,TRUE)),""))</f>
        <v>M_1_[4 a 10]</v>
      </c>
      <c r="AD314" s="178">
        <f t="shared" si="135"/>
        <v>586380</v>
      </c>
      <c r="AE314" s="82" t="str">
        <f t="shared" si="136"/>
        <v>-</v>
      </c>
      <c r="AF314" s="83" t="str">
        <f t="shared" si="137"/>
        <v>070607</v>
      </c>
      <c r="AG314" s="84"/>
      <c r="AH314" s="85" t="str">
        <f t="shared" si="138"/>
        <v>Corporación de Fomento de la Producción</v>
      </c>
      <c r="AI314" s="82" t="str">
        <f t="shared" si="139"/>
        <v>-</v>
      </c>
      <c r="AJ314" s="82">
        <f t="shared" si="140"/>
        <v>3</v>
      </c>
      <c r="AK314" s="82" t="str">
        <f t="shared" si="141"/>
        <v>-</v>
      </c>
      <c r="AL314" s="82" t="str">
        <f t="shared" si="142"/>
        <v>Identifica este registro como MUJER</v>
      </c>
      <c r="AM314" s="82" t="str">
        <f t="shared" si="143"/>
        <v>-</v>
      </c>
      <c r="AN314" s="82" t="str">
        <f t="shared" si="144"/>
        <v>-</v>
      </c>
      <c r="AO314" s="82" t="str">
        <f t="shared" si="145"/>
        <v>-</v>
      </c>
      <c r="AP314" s="57" t="str">
        <f t="shared" si="146"/>
        <v>-</v>
      </c>
      <c r="AQ314" s="86" t="str">
        <f t="shared" si="147"/>
        <v>-</v>
      </c>
      <c r="AR314" s="86" t="str">
        <f>IF(N314="","PRIMER_DIA en blanco",
IF(AND(M314="01",N314&gt;=L_Conversion!$C$118,N314&lt;=L_Conversion!$D$118),"-",
IF(AND(M314="02",N314&gt;=L_Conversion!$C$119,N314&lt;=L_Conversion!$D$119),"-",
IF(AND(M314="03",N314&gt;=L_Conversion!$C$120,N314&lt;=L_Conversion!$D$120),"-",
IF(AND(M314="04",N314&gt;=L_Conversion!$C$121,N314&lt;=L_Conversion!$D$121),"-",
IF(AND(M314="05",N314&gt;=L_Conversion!$C$122,N314&lt;=L_Conversion!$D$122),"-",
IF(AND(M314="06",N314&gt;=L_Conversion!$C$123,N314&lt;=L_Conversion!$D$123),"-",
IF(AND(M314="07",N314&gt;=L_Conversion!$C$124,N314&lt;=L_Conversion!$D$124),"-",
IF(AND(M314="08",N314&gt;=L_Conversion!$C$125,N314&lt;=L_Conversion!$D$125),"-",
IF(AND(M314="09",N314&gt;=L_Conversion!$C$126,N314&lt;=L_Conversion!$D$126),"-",
IF(AND(M314="10",N314&gt;=L_Conversion!$C$127,N314&lt;=L_Conversion!$D$127),"-",
IF(AND(M314="11",N314&gt;=L_Conversion!$C$128,N314&lt;=L_Conversion!$D$128),"-",
IF(AND(M314="12",N314&gt;=L_Conversion!$C$129,N314&lt;=L_Conversion!$D$129),"-",
IF(AND(M314="13",N314&gt;=L_Conversion!$C$116,N314&lt;=L_Conversion!$D$116),"-",
IF(AND(M314="14",N314&gt;=L_Conversion!$C$117,N314&lt;=L_Conversion!$D$117),"-",
"PRIMER_DIA fuera de rango")))))))))))))))</f>
        <v>-</v>
      </c>
      <c r="AS314" s="86" t="str">
        <f t="shared" si="148"/>
        <v>-</v>
      </c>
      <c r="AT314" s="86" t="str">
        <f t="shared" si="149"/>
        <v>-</v>
      </c>
      <c r="AU314" s="86" t="str">
        <f t="shared" si="150"/>
        <v>-</v>
      </c>
      <c r="AV314" s="86" t="str">
        <f t="shared" si="151"/>
        <v>-</v>
      </c>
      <c r="AW314" s="86" t="str">
        <f t="shared" si="152"/>
        <v>-</v>
      </c>
      <c r="AX314" s="86" t="str">
        <f t="shared" si="153"/>
        <v>-</v>
      </c>
      <c r="AY314" s="86" t="str">
        <f t="shared" si="154"/>
        <v>-</v>
      </c>
      <c r="AZ314" s="86" t="str">
        <f t="shared" si="155"/>
        <v>-</v>
      </c>
      <c r="BA314" s="86" t="str">
        <f t="shared" si="156"/>
        <v>-</v>
      </c>
      <c r="BB314" s="86" t="str">
        <f t="shared" si="157"/>
        <v>-</v>
      </c>
      <c r="BC314" s="86" t="str">
        <f t="shared" si="158"/>
        <v>-</v>
      </c>
      <c r="BD314" s="86" t="str">
        <f t="shared" si="159"/>
        <v>-</v>
      </c>
      <c r="BE314" s="86" t="str">
        <f t="shared" si="160"/>
        <v>-</v>
      </c>
      <c r="BF314" s="86" t="str">
        <f t="shared" si="161"/>
        <v>-</v>
      </c>
    </row>
    <row r="315" spans="1:58" x14ac:dyDescent="0.2">
      <c r="A315" s="19" t="s">
        <v>1144</v>
      </c>
      <c r="B315" s="19" t="s">
        <v>887</v>
      </c>
      <c r="C315" s="19">
        <v>16662030</v>
      </c>
      <c r="D315" s="81">
        <v>9</v>
      </c>
      <c r="E315" s="19" t="s">
        <v>1643</v>
      </c>
      <c r="F315" s="19" t="s">
        <v>1417</v>
      </c>
      <c r="G315" s="19" t="s">
        <v>1644</v>
      </c>
      <c r="H315" s="19" t="s">
        <v>663</v>
      </c>
      <c r="I315" s="19" t="s">
        <v>662</v>
      </c>
      <c r="J315" s="19">
        <v>80</v>
      </c>
      <c r="K315" s="19" t="s">
        <v>563</v>
      </c>
      <c r="L315" s="19" t="s">
        <v>502</v>
      </c>
      <c r="M315" s="19" t="s">
        <v>16</v>
      </c>
      <c r="N315" s="19">
        <v>45740</v>
      </c>
      <c r="O315" s="19">
        <v>1</v>
      </c>
      <c r="P315" s="81">
        <v>1</v>
      </c>
      <c r="Q315" s="19" t="s">
        <v>23</v>
      </c>
      <c r="R315" s="19" t="s">
        <v>11</v>
      </c>
      <c r="S315" s="19" t="s">
        <v>23</v>
      </c>
      <c r="T315" s="19">
        <v>1</v>
      </c>
      <c r="U315" s="19" t="s">
        <v>11</v>
      </c>
      <c r="V315" s="19" t="s">
        <v>19</v>
      </c>
      <c r="W315" s="19" t="s">
        <v>19</v>
      </c>
      <c r="X315" s="19">
        <v>25460</v>
      </c>
      <c r="Y315" s="19" t="s">
        <v>735</v>
      </c>
      <c r="Z315" s="19">
        <v>1</v>
      </c>
      <c r="AA315" s="19">
        <v>25460</v>
      </c>
      <c r="AB315" s="19">
        <v>25460</v>
      </c>
      <c r="AC315" s="178" t="str">
        <f>IF(OR(M315="13",M315="14",P315=8),"",IF(AND(OR(S315="AUTORIZADO", S315="PENDIENTE", S315="REDUCIDO", S315="AMPLIADO"),L315&lt;&gt;"HONORARIO" ), CONCATENATE(IF(H315="X","H",H315),"_",IF(OR(P315=5,P315=6),_xlfn.CONCAT(P315,"A"),P315),"_",VLOOKUP(T315,Datos!$B$2:$C$5,2,TRUE)),""))</f>
        <v>H_1_[hasta 3]</v>
      </c>
      <c r="AD315" s="178">
        <f t="shared" si="135"/>
        <v>50920</v>
      </c>
      <c r="AE315" s="82" t="str">
        <f t="shared" si="136"/>
        <v>-</v>
      </c>
      <c r="AF315" s="83" t="str">
        <f t="shared" si="137"/>
        <v>070607</v>
      </c>
      <c r="AG315" s="84"/>
      <c r="AH315" s="85" t="str">
        <f t="shared" si="138"/>
        <v>Corporación de Fomento de la Producción</v>
      </c>
      <c r="AI315" s="82" t="str">
        <f t="shared" si="139"/>
        <v>-</v>
      </c>
      <c r="AJ315" s="82">
        <f t="shared" si="140"/>
        <v>9</v>
      </c>
      <c r="AK315" s="82" t="str">
        <f t="shared" si="141"/>
        <v>-</v>
      </c>
      <c r="AL315" s="82" t="str">
        <f t="shared" si="142"/>
        <v>Identifica este registro como HOMBRE</v>
      </c>
      <c r="AM315" s="82" t="str">
        <f t="shared" si="143"/>
        <v>-</v>
      </c>
      <c r="AN315" s="82" t="str">
        <f t="shared" si="144"/>
        <v>-</v>
      </c>
      <c r="AO315" s="82" t="str">
        <f t="shared" si="145"/>
        <v>-</v>
      </c>
      <c r="AP315" s="57" t="str">
        <f t="shared" si="146"/>
        <v>-</v>
      </c>
      <c r="AQ315" s="86" t="str">
        <f t="shared" si="147"/>
        <v>-</v>
      </c>
      <c r="AR315" s="86" t="str">
        <f>IF(N315="","PRIMER_DIA en blanco",
IF(AND(M315="01",N315&gt;=L_Conversion!$C$118,N315&lt;=L_Conversion!$D$118),"-",
IF(AND(M315="02",N315&gt;=L_Conversion!$C$119,N315&lt;=L_Conversion!$D$119),"-",
IF(AND(M315="03",N315&gt;=L_Conversion!$C$120,N315&lt;=L_Conversion!$D$120),"-",
IF(AND(M315="04",N315&gt;=L_Conversion!$C$121,N315&lt;=L_Conversion!$D$121),"-",
IF(AND(M315="05",N315&gt;=L_Conversion!$C$122,N315&lt;=L_Conversion!$D$122),"-",
IF(AND(M315="06",N315&gt;=L_Conversion!$C$123,N315&lt;=L_Conversion!$D$123),"-",
IF(AND(M315="07",N315&gt;=L_Conversion!$C$124,N315&lt;=L_Conversion!$D$124),"-",
IF(AND(M315="08",N315&gt;=L_Conversion!$C$125,N315&lt;=L_Conversion!$D$125),"-",
IF(AND(M315="09",N315&gt;=L_Conversion!$C$126,N315&lt;=L_Conversion!$D$126),"-",
IF(AND(M315="10",N315&gt;=L_Conversion!$C$127,N315&lt;=L_Conversion!$D$127),"-",
IF(AND(M315="11",N315&gt;=L_Conversion!$C$128,N315&lt;=L_Conversion!$D$128),"-",
IF(AND(M315="12",N315&gt;=L_Conversion!$C$129,N315&lt;=L_Conversion!$D$129),"-",
IF(AND(M315="13",N315&gt;=L_Conversion!$C$116,N315&lt;=L_Conversion!$D$116),"-",
IF(AND(M315="14",N315&gt;=L_Conversion!$C$117,N315&lt;=L_Conversion!$D$117),"-",
"PRIMER_DIA fuera de rango")))))))))))))))</f>
        <v>-</v>
      </c>
      <c r="AS315" s="86" t="str">
        <f t="shared" si="148"/>
        <v>-</v>
      </c>
      <c r="AT315" s="86" t="str">
        <f t="shared" si="149"/>
        <v>-</v>
      </c>
      <c r="AU315" s="86" t="str">
        <f t="shared" si="150"/>
        <v>-</v>
      </c>
      <c r="AV315" s="86" t="str">
        <f t="shared" si="151"/>
        <v>-</v>
      </c>
      <c r="AW315" s="86" t="str">
        <f t="shared" si="152"/>
        <v>-</v>
      </c>
      <c r="AX315" s="86" t="str">
        <f t="shared" si="153"/>
        <v>-</v>
      </c>
      <c r="AY315" s="86" t="str">
        <f t="shared" si="154"/>
        <v>-</v>
      </c>
      <c r="AZ315" s="86" t="str">
        <f t="shared" si="155"/>
        <v>-</v>
      </c>
      <c r="BA315" s="86" t="str">
        <f t="shared" si="156"/>
        <v>-</v>
      </c>
      <c r="BB315" s="86" t="str">
        <f t="shared" si="157"/>
        <v>-</v>
      </c>
      <c r="BC315" s="86" t="str">
        <f t="shared" si="158"/>
        <v>-</v>
      </c>
      <c r="BD315" s="86" t="str">
        <f t="shared" si="159"/>
        <v>-</v>
      </c>
      <c r="BE315" s="86" t="str">
        <f t="shared" si="160"/>
        <v>-</v>
      </c>
      <c r="BF315" s="86" t="str">
        <f t="shared" si="161"/>
        <v>-</v>
      </c>
    </row>
    <row r="316" spans="1:58" x14ac:dyDescent="0.2">
      <c r="A316" s="19" t="s">
        <v>1144</v>
      </c>
      <c r="B316" s="19" t="s">
        <v>76</v>
      </c>
      <c r="C316" s="19">
        <v>8001291</v>
      </c>
      <c r="D316" s="81">
        <v>8</v>
      </c>
      <c r="E316" s="19" t="s">
        <v>1502</v>
      </c>
      <c r="F316" s="19" t="s">
        <v>1298</v>
      </c>
      <c r="G316" s="19" t="s">
        <v>1626</v>
      </c>
      <c r="H316" s="19" t="s">
        <v>663</v>
      </c>
      <c r="I316" s="19" t="s">
        <v>662</v>
      </c>
      <c r="J316" s="19">
        <v>60</v>
      </c>
      <c r="K316" s="19" t="s">
        <v>567</v>
      </c>
      <c r="L316" s="19" t="s">
        <v>497</v>
      </c>
      <c r="M316" s="19" t="s">
        <v>16</v>
      </c>
      <c r="N316" s="19">
        <v>45740</v>
      </c>
      <c r="O316" s="19">
        <v>5</v>
      </c>
      <c r="P316" s="81">
        <v>1</v>
      </c>
      <c r="Q316" s="19" t="s">
        <v>23</v>
      </c>
      <c r="R316" s="19" t="s">
        <v>11</v>
      </c>
      <c r="S316" s="19" t="s">
        <v>23</v>
      </c>
      <c r="T316" s="19">
        <v>5</v>
      </c>
      <c r="U316" s="19" t="s">
        <v>11</v>
      </c>
      <c r="V316" s="19" t="s">
        <v>11</v>
      </c>
      <c r="W316" s="19" t="s">
        <v>19</v>
      </c>
      <c r="X316" s="19">
        <v>199292</v>
      </c>
      <c r="Y316" s="19" t="s">
        <v>735</v>
      </c>
      <c r="Z316" s="19">
        <v>5</v>
      </c>
      <c r="AA316" s="19">
        <v>199292</v>
      </c>
      <c r="AB316" s="19">
        <v>199292</v>
      </c>
      <c r="AC316" s="178" t="str">
        <f>IF(OR(M316="13",M316="14",P316=8),"",IF(AND(OR(S316="AUTORIZADO", S316="PENDIENTE", S316="REDUCIDO", S316="AMPLIADO"),L316&lt;&gt;"HONORARIO" ), CONCATENATE(IF(H316="X","H",H316),"_",IF(OR(P316=5,P316=6),_xlfn.CONCAT(P316,"A"),P316),"_",VLOOKUP(T316,Datos!$B$2:$C$5,2,TRUE)),""))</f>
        <v>H_1_[4 a 10]</v>
      </c>
      <c r="AD316" s="178">
        <f t="shared" si="135"/>
        <v>398584</v>
      </c>
      <c r="AE316" s="82" t="str">
        <f t="shared" si="136"/>
        <v>-</v>
      </c>
      <c r="AF316" s="83" t="str">
        <f t="shared" si="137"/>
        <v>070601</v>
      </c>
      <c r="AG316" s="84"/>
      <c r="AH316" s="85" t="str">
        <f t="shared" si="138"/>
        <v>Corporación de Fomento de la Producción</v>
      </c>
      <c r="AI316" s="82" t="str">
        <f t="shared" si="139"/>
        <v>-</v>
      </c>
      <c r="AJ316" s="82">
        <f t="shared" si="140"/>
        <v>8</v>
      </c>
      <c r="AK316" s="82" t="str">
        <f t="shared" si="141"/>
        <v>-</v>
      </c>
      <c r="AL316" s="82" t="str">
        <f t="shared" si="142"/>
        <v>Identifica este registro como HOMBRE</v>
      </c>
      <c r="AM316" s="82" t="str">
        <f t="shared" si="143"/>
        <v>-</v>
      </c>
      <c r="AN316" s="82" t="str">
        <f t="shared" si="144"/>
        <v>-</v>
      </c>
      <c r="AO316" s="82" t="str">
        <f t="shared" si="145"/>
        <v>-</v>
      </c>
      <c r="AP316" s="57" t="str">
        <f t="shared" si="146"/>
        <v>-</v>
      </c>
      <c r="AQ316" s="86" t="str">
        <f t="shared" si="147"/>
        <v>-</v>
      </c>
      <c r="AR316" s="86" t="str">
        <f>IF(N316="","PRIMER_DIA en blanco",
IF(AND(M316="01",N316&gt;=L_Conversion!$C$118,N316&lt;=L_Conversion!$D$118),"-",
IF(AND(M316="02",N316&gt;=L_Conversion!$C$119,N316&lt;=L_Conversion!$D$119),"-",
IF(AND(M316="03",N316&gt;=L_Conversion!$C$120,N316&lt;=L_Conversion!$D$120),"-",
IF(AND(M316="04",N316&gt;=L_Conversion!$C$121,N316&lt;=L_Conversion!$D$121),"-",
IF(AND(M316="05",N316&gt;=L_Conversion!$C$122,N316&lt;=L_Conversion!$D$122),"-",
IF(AND(M316="06",N316&gt;=L_Conversion!$C$123,N316&lt;=L_Conversion!$D$123),"-",
IF(AND(M316="07",N316&gt;=L_Conversion!$C$124,N316&lt;=L_Conversion!$D$124),"-",
IF(AND(M316="08",N316&gt;=L_Conversion!$C$125,N316&lt;=L_Conversion!$D$125),"-",
IF(AND(M316="09",N316&gt;=L_Conversion!$C$126,N316&lt;=L_Conversion!$D$126),"-",
IF(AND(M316="10",N316&gt;=L_Conversion!$C$127,N316&lt;=L_Conversion!$D$127),"-",
IF(AND(M316="11",N316&gt;=L_Conversion!$C$128,N316&lt;=L_Conversion!$D$128),"-",
IF(AND(M316="12",N316&gt;=L_Conversion!$C$129,N316&lt;=L_Conversion!$D$129),"-",
IF(AND(M316="13",N316&gt;=L_Conversion!$C$116,N316&lt;=L_Conversion!$D$116),"-",
IF(AND(M316="14",N316&gt;=L_Conversion!$C$117,N316&lt;=L_Conversion!$D$117),"-",
"PRIMER_DIA fuera de rango")))))))))))))))</f>
        <v>-</v>
      </c>
      <c r="AS316" s="86" t="str">
        <f t="shared" si="148"/>
        <v>-</v>
      </c>
      <c r="AT316" s="86" t="str">
        <f t="shared" si="149"/>
        <v>-</v>
      </c>
      <c r="AU316" s="86" t="str">
        <f t="shared" si="150"/>
        <v>-</v>
      </c>
      <c r="AV316" s="86" t="str">
        <f t="shared" si="151"/>
        <v>-</v>
      </c>
      <c r="AW316" s="86" t="str">
        <f t="shared" si="152"/>
        <v>-</v>
      </c>
      <c r="AX316" s="86" t="str">
        <f t="shared" si="153"/>
        <v>-</v>
      </c>
      <c r="AY316" s="86" t="str">
        <f t="shared" si="154"/>
        <v>-</v>
      </c>
      <c r="AZ316" s="86" t="str">
        <f t="shared" si="155"/>
        <v>-</v>
      </c>
      <c r="BA316" s="86" t="str">
        <f t="shared" si="156"/>
        <v>-</v>
      </c>
      <c r="BB316" s="86" t="str">
        <f t="shared" si="157"/>
        <v>-</v>
      </c>
      <c r="BC316" s="86" t="str">
        <f t="shared" si="158"/>
        <v>-</v>
      </c>
      <c r="BD316" s="86" t="str">
        <f t="shared" si="159"/>
        <v>-</v>
      </c>
      <c r="BE316" s="86" t="str">
        <f t="shared" si="160"/>
        <v>-</v>
      </c>
      <c r="BF316" s="86" t="str">
        <f t="shared" si="161"/>
        <v>-</v>
      </c>
    </row>
    <row r="317" spans="1:58" x14ac:dyDescent="0.2">
      <c r="A317" s="19" t="s">
        <v>1144</v>
      </c>
      <c r="B317" s="19" t="s">
        <v>76</v>
      </c>
      <c r="C317" s="19">
        <v>10435188</v>
      </c>
      <c r="D317" s="81">
        <v>3</v>
      </c>
      <c r="E317" s="19" t="s">
        <v>1185</v>
      </c>
      <c r="F317" s="19" t="s">
        <v>1645</v>
      </c>
      <c r="G317" s="19" t="s">
        <v>1646</v>
      </c>
      <c r="H317" s="19" t="s">
        <v>663</v>
      </c>
      <c r="I317" s="19" t="s">
        <v>662</v>
      </c>
      <c r="J317" s="19">
        <v>80</v>
      </c>
      <c r="K317" s="19" t="s">
        <v>563</v>
      </c>
      <c r="L317" s="19" t="s">
        <v>502</v>
      </c>
      <c r="M317" s="19" t="s">
        <v>16</v>
      </c>
      <c r="N317" s="19">
        <v>45740</v>
      </c>
      <c r="O317" s="19">
        <v>5</v>
      </c>
      <c r="P317" s="81">
        <v>1</v>
      </c>
      <c r="Q317" s="19" t="s">
        <v>23</v>
      </c>
      <c r="R317" s="19" t="s">
        <v>11</v>
      </c>
      <c r="S317" s="19" t="s">
        <v>23</v>
      </c>
      <c r="T317" s="19">
        <v>5</v>
      </c>
      <c r="U317" s="19" t="s">
        <v>11</v>
      </c>
      <c r="V317" s="19" t="s">
        <v>11</v>
      </c>
      <c r="W317" s="19" t="s">
        <v>19</v>
      </c>
      <c r="X317" s="19">
        <v>278877</v>
      </c>
      <c r="Y317" s="19" t="s">
        <v>735</v>
      </c>
      <c r="Z317" s="19">
        <v>5</v>
      </c>
      <c r="AA317" s="19">
        <v>278877</v>
      </c>
      <c r="AB317" s="19">
        <v>278877</v>
      </c>
      <c r="AC317" s="178" t="str">
        <f>IF(OR(M317="13",M317="14",P317=8),"",IF(AND(OR(S317="AUTORIZADO", S317="PENDIENTE", S317="REDUCIDO", S317="AMPLIADO"),L317&lt;&gt;"HONORARIO" ), CONCATENATE(IF(H317="X","H",H317),"_",IF(OR(P317=5,P317=6),_xlfn.CONCAT(P317,"A"),P317),"_",VLOOKUP(T317,Datos!$B$2:$C$5,2,TRUE)),""))</f>
        <v>H_1_[4 a 10]</v>
      </c>
      <c r="AD317" s="178">
        <f t="shared" si="135"/>
        <v>557754</v>
      </c>
      <c r="AE317" s="82" t="str">
        <f t="shared" si="136"/>
        <v>-</v>
      </c>
      <c r="AF317" s="83" t="str">
        <f t="shared" si="137"/>
        <v>070601</v>
      </c>
      <c r="AG317" s="84"/>
      <c r="AH317" s="85" t="str">
        <f t="shared" si="138"/>
        <v>Corporación de Fomento de la Producción</v>
      </c>
      <c r="AI317" s="82" t="str">
        <f t="shared" si="139"/>
        <v>-</v>
      </c>
      <c r="AJ317" s="82">
        <f t="shared" si="140"/>
        <v>3</v>
      </c>
      <c r="AK317" s="82" t="str">
        <f t="shared" si="141"/>
        <v>-</v>
      </c>
      <c r="AL317" s="82" t="str">
        <f t="shared" si="142"/>
        <v>Identifica este registro como HOMBRE</v>
      </c>
      <c r="AM317" s="82" t="str">
        <f t="shared" si="143"/>
        <v>-</v>
      </c>
      <c r="AN317" s="82" t="str">
        <f t="shared" si="144"/>
        <v>-</v>
      </c>
      <c r="AO317" s="82" t="str">
        <f t="shared" si="145"/>
        <v>-</v>
      </c>
      <c r="AP317" s="57" t="str">
        <f t="shared" si="146"/>
        <v>-</v>
      </c>
      <c r="AQ317" s="86" t="str">
        <f t="shared" si="147"/>
        <v>-</v>
      </c>
      <c r="AR317" s="86" t="str">
        <f>IF(N317="","PRIMER_DIA en blanco",
IF(AND(M317="01",N317&gt;=L_Conversion!$C$118,N317&lt;=L_Conversion!$D$118),"-",
IF(AND(M317="02",N317&gt;=L_Conversion!$C$119,N317&lt;=L_Conversion!$D$119),"-",
IF(AND(M317="03",N317&gt;=L_Conversion!$C$120,N317&lt;=L_Conversion!$D$120),"-",
IF(AND(M317="04",N317&gt;=L_Conversion!$C$121,N317&lt;=L_Conversion!$D$121),"-",
IF(AND(M317="05",N317&gt;=L_Conversion!$C$122,N317&lt;=L_Conversion!$D$122),"-",
IF(AND(M317="06",N317&gt;=L_Conversion!$C$123,N317&lt;=L_Conversion!$D$123),"-",
IF(AND(M317="07",N317&gt;=L_Conversion!$C$124,N317&lt;=L_Conversion!$D$124),"-",
IF(AND(M317="08",N317&gt;=L_Conversion!$C$125,N317&lt;=L_Conversion!$D$125),"-",
IF(AND(M317="09",N317&gt;=L_Conversion!$C$126,N317&lt;=L_Conversion!$D$126),"-",
IF(AND(M317="10",N317&gt;=L_Conversion!$C$127,N317&lt;=L_Conversion!$D$127),"-",
IF(AND(M317="11",N317&gt;=L_Conversion!$C$128,N317&lt;=L_Conversion!$D$128),"-",
IF(AND(M317="12",N317&gt;=L_Conversion!$C$129,N317&lt;=L_Conversion!$D$129),"-",
IF(AND(M317="13",N317&gt;=L_Conversion!$C$116,N317&lt;=L_Conversion!$D$116),"-",
IF(AND(M317="14",N317&gt;=L_Conversion!$C$117,N317&lt;=L_Conversion!$D$117),"-",
"PRIMER_DIA fuera de rango")))))))))))))))</f>
        <v>-</v>
      </c>
      <c r="AS317" s="86" t="str">
        <f t="shared" si="148"/>
        <v>-</v>
      </c>
      <c r="AT317" s="86" t="str">
        <f t="shared" si="149"/>
        <v>-</v>
      </c>
      <c r="AU317" s="86" t="str">
        <f t="shared" si="150"/>
        <v>-</v>
      </c>
      <c r="AV317" s="86" t="str">
        <f t="shared" si="151"/>
        <v>-</v>
      </c>
      <c r="AW317" s="86" t="str">
        <f t="shared" si="152"/>
        <v>-</v>
      </c>
      <c r="AX317" s="86" t="str">
        <f t="shared" si="153"/>
        <v>-</v>
      </c>
      <c r="AY317" s="86" t="str">
        <f t="shared" si="154"/>
        <v>-</v>
      </c>
      <c r="AZ317" s="86" t="str">
        <f t="shared" si="155"/>
        <v>-</v>
      </c>
      <c r="BA317" s="86" t="str">
        <f t="shared" si="156"/>
        <v>-</v>
      </c>
      <c r="BB317" s="86" t="str">
        <f t="shared" si="157"/>
        <v>-</v>
      </c>
      <c r="BC317" s="86" t="str">
        <f t="shared" si="158"/>
        <v>-</v>
      </c>
      <c r="BD317" s="86" t="str">
        <f t="shared" si="159"/>
        <v>-</v>
      </c>
      <c r="BE317" s="86" t="str">
        <f t="shared" si="160"/>
        <v>-</v>
      </c>
      <c r="BF317" s="86" t="str">
        <f t="shared" si="161"/>
        <v>-</v>
      </c>
    </row>
    <row r="318" spans="1:58" x14ac:dyDescent="0.2">
      <c r="A318" s="19" t="s">
        <v>1144</v>
      </c>
      <c r="B318" s="19" t="s">
        <v>76</v>
      </c>
      <c r="C318" s="19">
        <v>11846118</v>
      </c>
      <c r="D318" s="81">
        <v>5</v>
      </c>
      <c r="E318" s="19" t="s">
        <v>1168</v>
      </c>
      <c r="F318" s="19" t="s">
        <v>1145</v>
      </c>
      <c r="G318" s="19" t="s">
        <v>1186</v>
      </c>
      <c r="H318" s="19" t="s">
        <v>1033</v>
      </c>
      <c r="I318" s="19" t="s">
        <v>662</v>
      </c>
      <c r="J318" s="19">
        <v>80</v>
      </c>
      <c r="K318" s="19" t="s">
        <v>567</v>
      </c>
      <c r="L318" s="19" t="s">
        <v>502</v>
      </c>
      <c r="M318" s="19" t="s">
        <v>16</v>
      </c>
      <c r="N318" s="19">
        <v>45741</v>
      </c>
      <c r="O318" s="19">
        <v>8</v>
      </c>
      <c r="P318" s="81">
        <v>1</v>
      </c>
      <c r="Q318" s="19" t="s">
        <v>23</v>
      </c>
      <c r="R318" s="19" t="s">
        <v>11</v>
      </c>
      <c r="S318" s="19" t="s">
        <v>23</v>
      </c>
      <c r="T318" s="19">
        <v>8</v>
      </c>
      <c r="U318" s="19" t="s">
        <v>11</v>
      </c>
      <c r="V318" s="19" t="s">
        <v>11</v>
      </c>
      <c r="W318" s="19" t="s">
        <v>19</v>
      </c>
      <c r="X318" s="19">
        <v>357716</v>
      </c>
      <c r="Y318" s="19" t="s">
        <v>735</v>
      </c>
      <c r="Z318" s="19">
        <v>8</v>
      </c>
      <c r="AA318" s="19">
        <v>357716</v>
      </c>
      <c r="AB318" s="19">
        <v>357716</v>
      </c>
      <c r="AC318" s="178" t="str">
        <f>IF(OR(M318="13",M318="14",P318=8),"",IF(AND(OR(S318="AUTORIZADO", S318="PENDIENTE", S318="REDUCIDO", S318="AMPLIADO"),L318&lt;&gt;"HONORARIO" ), CONCATENATE(IF(H318="X","H",H318),"_",IF(OR(P318=5,P318=6),_xlfn.CONCAT(P318,"A"),P318),"_",VLOOKUP(T318,Datos!$B$2:$C$5,2,TRUE)),""))</f>
        <v>M_1_[4 a 10]</v>
      </c>
      <c r="AD318" s="178">
        <f t="shared" si="135"/>
        <v>715432</v>
      </c>
      <c r="AE318" s="82" t="str">
        <f t="shared" si="136"/>
        <v>-</v>
      </c>
      <c r="AF318" s="83" t="str">
        <f t="shared" si="137"/>
        <v>070601</v>
      </c>
      <c r="AG318" s="84"/>
      <c r="AH318" s="85" t="str">
        <f t="shared" si="138"/>
        <v>Corporación de Fomento de la Producción</v>
      </c>
      <c r="AI318" s="82" t="str">
        <f t="shared" si="139"/>
        <v>-</v>
      </c>
      <c r="AJ318" s="82">
        <f t="shared" si="140"/>
        <v>5</v>
      </c>
      <c r="AK318" s="82" t="str">
        <f t="shared" si="141"/>
        <v>-</v>
      </c>
      <c r="AL318" s="82" t="str">
        <f t="shared" si="142"/>
        <v>Identifica este registro como MUJER</v>
      </c>
      <c r="AM318" s="82" t="str">
        <f t="shared" si="143"/>
        <v>-</v>
      </c>
      <c r="AN318" s="82" t="str">
        <f t="shared" si="144"/>
        <v>-</v>
      </c>
      <c r="AO318" s="82" t="str">
        <f t="shared" si="145"/>
        <v>-</v>
      </c>
      <c r="AP318" s="57" t="str">
        <f t="shared" si="146"/>
        <v>-</v>
      </c>
      <c r="AQ318" s="86" t="str">
        <f t="shared" si="147"/>
        <v>-</v>
      </c>
      <c r="AR318" s="86" t="str">
        <f>IF(N318="","PRIMER_DIA en blanco",
IF(AND(M318="01",N318&gt;=L_Conversion!$C$118,N318&lt;=L_Conversion!$D$118),"-",
IF(AND(M318="02",N318&gt;=L_Conversion!$C$119,N318&lt;=L_Conversion!$D$119),"-",
IF(AND(M318="03",N318&gt;=L_Conversion!$C$120,N318&lt;=L_Conversion!$D$120),"-",
IF(AND(M318="04",N318&gt;=L_Conversion!$C$121,N318&lt;=L_Conversion!$D$121),"-",
IF(AND(M318="05",N318&gt;=L_Conversion!$C$122,N318&lt;=L_Conversion!$D$122),"-",
IF(AND(M318="06",N318&gt;=L_Conversion!$C$123,N318&lt;=L_Conversion!$D$123),"-",
IF(AND(M318="07",N318&gt;=L_Conversion!$C$124,N318&lt;=L_Conversion!$D$124),"-",
IF(AND(M318="08",N318&gt;=L_Conversion!$C$125,N318&lt;=L_Conversion!$D$125),"-",
IF(AND(M318="09",N318&gt;=L_Conversion!$C$126,N318&lt;=L_Conversion!$D$126),"-",
IF(AND(M318="10",N318&gt;=L_Conversion!$C$127,N318&lt;=L_Conversion!$D$127),"-",
IF(AND(M318="11",N318&gt;=L_Conversion!$C$128,N318&lt;=L_Conversion!$D$128),"-",
IF(AND(M318="12",N318&gt;=L_Conversion!$C$129,N318&lt;=L_Conversion!$D$129),"-",
IF(AND(M318="13",N318&gt;=L_Conversion!$C$116,N318&lt;=L_Conversion!$D$116),"-",
IF(AND(M318="14",N318&gt;=L_Conversion!$C$117,N318&lt;=L_Conversion!$D$117),"-",
"PRIMER_DIA fuera de rango")))))))))))))))</f>
        <v>-</v>
      </c>
      <c r="AS318" s="86" t="str">
        <f t="shared" si="148"/>
        <v>-</v>
      </c>
      <c r="AT318" s="86" t="str">
        <f t="shared" si="149"/>
        <v>-</v>
      </c>
      <c r="AU318" s="86" t="str">
        <f t="shared" si="150"/>
        <v>-</v>
      </c>
      <c r="AV318" s="86" t="str">
        <f t="shared" si="151"/>
        <v>-</v>
      </c>
      <c r="AW318" s="86" t="str">
        <f t="shared" si="152"/>
        <v>-</v>
      </c>
      <c r="AX318" s="86" t="str">
        <f t="shared" si="153"/>
        <v>-</v>
      </c>
      <c r="AY318" s="86" t="str">
        <f t="shared" si="154"/>
        <v>-</v>
      </c>
      <c r="AZ318" s="86" t="str">
        <f t="shared" si="155"/>
        <v>-</v>
      </c>
      <c r="BA318" s="86" t="str">
        <f t="shared" si="156"/>
        <v>-</v>
      </c>
      <c r="BB318" s="86" t="str">
        <f t="shared" si="157"/>
        <v>-</v>
      </c>
      <c r="BC318" s="86" t="str">
        <f t="shared" si="158"/>
        <v>-</v>
      </c>
      <c r="BD318" s="86" t="str">
        <f t="shared" si="159"/>
        <v>-</v>
      </c>
      <c r="BE318" s="86" t="str">
        <f t="shared" si="160"/>
        <v>-</v>
      </c>
      <c r="BF318" s="86" t="str">
        <f t="shared" si="161"/>
        <v>-</v>
      </c>
    </row>
    <row r="319" spans="1:58" x14ac:dyDescent="0.2">
      <c r="A319" s="19" t="s">
        <v>1144</v>
      </c>
      <c r="B319" s="19" t="s">
        <v>76</v>
      </c>
      <c r="C319" s="19">
        <v>15419934</v>
      </c>
      <c r="D319" s="81">
        <v>9</v>
      </c>
      <c r="E319" s="19" t="s">
        <v>1647</v>
      </c>
      <c r="F319" s="19" t="s">
        <v>1168</v>
      </c>
      <c r="G319" s="19" t="s">
        <v>1648</v>
      </c>
      <c r="H319" s="19" t="s">
        <v>663</v>
      </c>
      <c r="I319" s="19" t="s">
        <v>662</v>
      </c>
      <c r="J319" s="19">
        <v>80</v>
      </c>
      <c r="K319" s="19" t="s">
        <v>563</v>
      </c>
      <c r="L319" s="19" t="s">
        <v>502</v>
      </c>
      <c r="M319" s="19" t="s">
        <v>16</v>
      </c>
      <c r="N319" s="19">
        <v>45741</v>
      </c>
      <c r="O319" s="19">
        <v>2</v>
      </c>
      <c r="P319" s="81">
        <v>1</v>
      </c>
      <c r="Q319" s="19" t="s">
        <v>23</v>
      </c>
      <c r="R319" s="19" t="s">
        <v>11</v>
      </c>
      <c r="S319" s="19" t="s">
        <v>23</v>
      </c>
      <c r="T319" s="19">
        <v>2</v>
      </c>
      <c r="U319" s="19" t="s">
        <v>11</v>
      </c>
      <c r="V319" s="19" t="s">
        <v>19</v>
      </c>
      <c r="W319" s="19" t="s">
        <v>19</v>
      </c>
      <c r="X319" s="19">
        <v>41167</v>
      </c>
      <c r="Y319" s="19" t="s">
        <v>735</v>
      </c>
      <c r="Z319" s="19">
        <v>2</v>
      </c>
      <c r="AA319" s="19">
        <v>41167</v>
      </c>
      <c r="AB319" s="19">
        <v>41167</v>
      </c>
      <c r="AC319" s="178" t="str">
        <f>IF(OR(M319="13",M319="14",P319=8),"",IF(AND(OR(S319="AUTORIZADO", S319="PENDIENTE", S319="REDUCIDO", S319="AMPLIADO"),L319&lt;&gt;"HONORARIO" ), CONCATENATE(IF(H319="X","H",H319),"_",IF(OR(P319=5,P319=6),_xlfn.CONCAT(P319,"A"),P319),"_",VLOOKUP(T319,Datos!$B$2:$C$5,2,TRUE)),""))</f>
        <v>H_1_[hasta 3]</v>
      </c>
      <c r="AD319" s="178">
        <f t="shared" si="135"/>
        <v>82334</v>
      </c>
      <c r="AE319" s="82" t="str">
        <f t="shared" si="136"/>
        <v>-</v>
      </c>
      <c r="AF319" s="83" t="str">
        <f t="shared" si="137"/>
        <v>070601</v>
      </c>
      <c r="AG319" s="84"/>
      <c r="AH319" s="85" t="str">
        <f t="shared" si="138"/>
        <v>Corporación de Fomento de la Producción</v>
      </c>
      <c r="AI319" s="82" t="str">
        <f t="shared" si="139"/>
        <v>-</v>
      </c>
      <c r="AJ319" s="82">
        <f t="shared" si="140"/>
        <v>9</v>
      </c>
      <c r="AK319" s="82" t="str">
        <f t="shared" si="141"/>
        <v>-</v>
      </c>
      <c r="AL319" s="82" t="str">
        <f t="shared" si="142"/>
        <v>Identifica este registro como HOMBRE</v>
      </c>
      <c r="AM319" s="82" t="str">
        <f t="shared" si="143"/>
        <v>-</v>
      </c>
      <c r="AN319" s="82" t="str">
        <f t="shared" si="144"/>
        <v>-</v>
      </c>
      <c r="AO319" s="82" t="str">
        <f t="shared" si="145"/>
        <v>-</v>
      </c>
      <c r="AP319" s="57" t="str">
        <f t="shared" si="146"/>
        <v>-</v>
      </c>
      <c r="AQ319" s="86" t="str">
        <f t="shared" si="147"/>
        <v>-</v>
      </c>
      <c r="AR319" s="86" t="str">
        <f>IF(N319="","PRIMER_DIA en blanco",
IF(AND(M319="01",N319&gt;=L_Conversion!$C$118,N319&lt;=L_Conversion!$D$118),"-",
IF(AND(M319="02",N319&gt;=L_Conversion!$C$119,N319&lt;=L_Conversion!$D$119),"-",
IF(AND(M319="03",N319&gt;=L_Conversion!$C$120,N319&lt;=L_Conversion!$D$120),"-",
IF(AND(M319="04",N319&gt;=L_Conversion!$C$121,N319&lt;=L_Conversion!$D$121),"-",
IF(AND(M319="05",N319&gt;=L_Conversion!$C$122,N319&lt;=L_Conversion!$D$122),"-",
IF(AND(M319="06",N319&gt;=L_Conversion!$C$123,N319&lt;=L_Conversion!$D$123),"-",
IF(AND(M319="07",N319&gt;=L_Conversion!$C$124,N319&lt;=L_Conversion!$D$124),"-",
IF(AND(M319="08",N319&gt;=L_Conversion!$C$125,N319&lt;=L_Conversion!$D$125),"-",
IF(AND(M319="09",N319&gt;=L_Conversion!$C$126,N319&lt;=L_Conversion!$D$126),"-",
IF(AND(M319="10",N319&gt;=L_Conversion!$C$127,N319&lt;=L_Conversion!$D$127),"-",
IF(AND(M319="11",N319&gt;=L_Conversion!$C$128,N319&lt;=L_Conversion!$D$128),"-",
IF(AND(M319="12",N319&gt;=L_Conversion!$C$129,N319&lt;=L_Conversion!$D$129),"-",
IF(AND(M319="13",N319&gt;=L_Conversion!$C$116,N319&lt;=L_Conversion!$D$116),"-",
IF(AND(M319="14",N319&gt;=L_Conversion!$C$117,N319&lt;=L_Conversion!$D$117),"-",
"PRIMER_DIA fuera de rango")))))))))))))))</f>
        <v>-</v>
      </c>
      <c r="AS319" s="86" t="str">
        <f t="shared" si="148"/>
        <v>-</v>
      </c>
      <c r="AT319" s="86" t="str">
        <f t="shared" si="149"/>
        <v>-</v>
      </c>
      <c r="AU319" s="86" t="str">
        <f t="shared" si="150"/>
        <v>-</v>
      </c>
      <c r="AV319" s="86" t="str">
        <f t="shared" si="151"/>
        <v>-</v>
      </c>
      <c r="AW319" s="86" t="str">
        <f t="shared" si="152"/>
        <v>-</v>
      </c>
      <c r="AX319" s="86" t="str">
        <f t="shared" si="153"/>
        <v>-</v>
      </c>
      <c r="AY319" s="86" t="str">
        <f t="shared" si="154"/>
        <v>-</v>
      </c>
      <c r="AZ319" s="86" t="str">
        <f t="shared" si="155"/>
        <v>-</v>
      </c>
      <c r="BA319" s="86" t="str">
        <f t="shared" si="156"/>
        <v>-</v>
      </c>
      <c r="BB319" s="86" t="str">
        <f t="shared" si="157"/>
        <v>-</v>
      </c>
      <c r="BC319" s="86" t="str">
        <f t="shared" si="158"/>
        <v>-</v>
      </c>
      <c r="BD319" s="86" t="str">
        <f t="shared" si="159"/>
        <v>-</v>
      </c>
      <c r="BE319" s="86" t="str">
        <f t="shared" si="160"/>
        <v>-</v>
      </c>
      <c r="BF319" s="86" t="str">
        <f t="shared" si="161"/>
        <v>-</v>
      </c>
    </row>
    <row r="320" spans="1:58" x14ac:dyDescent="0.2">
      <c r="A320" s="19" t="s">
        <v>1144</v>
      </c>
      <c r="B320" s="19" t="s">
        <v>76</v>
      </c>
      <c r="C320" s="19">
        <v>15385426</v>
      </c>
      <c r="D320" s="81">
        <v>2</v>
      </c>
      <c r="E320" s="19" t="s">
        <v>1450</v>
      </c>
      <c r="F320" s="19" t="s">
        <v>1649</v>
      </c>
      <c r="G320" s="19" t="s">
        <v>1290</v>
      </c>
      <c r="H320" s="19" t="s">
        <v>1033</v>
      </c>
      <c r="I320" s="19" t="s">
        <v>662</v>
      </c>
      <c r="J320" s="19">
        <v>60</v>
      </c>
      <c r="K320" s="19" t="s">
        <v>561</v>
      </c>
      <c r="L320" s="19" t="s">
        <v>497</v>
      </c>
      <c r="M320" s="19" t="s">
        <v>16</v>
      </c>
      <c r="N320" s="19">
        <v>45741</v>
      </c>
      <c r="O320" s="19">
        <v>4</v>
      </c>
      <c r="P320" s="81">
        <v>1</v>
      </c>
      <c r="Q320" s="19" t="s">
        <v>23</v>
      </c>
      <c r="R320" s="19" t="s">
        <v>11</v>
      </c>
      <c r="S320" s="19" t="s">
        <v>23</v>
      </c>
      <c r="T320" s="19">
        <v>4</v>
      </c>
      <c r="U320" s="19" t="s">
        <v>11</v>
      </c>
      <c r="V320" s="19" t="s">
        <v>11</v>
      </c>
      <c r="W320" s="19" t="s">
        <v>19</v>
      </c>
      <c r="X320" s="19">
        <v>174696</v>
      </c>
      <c r="Y320" s="19" t="s">
        <v>735</v>
      </c>
      <c r="Z320" s="19">
        <v>4</v>
      </c>
      <c r="AA320" s="19">
        <v>174696</v>
      </c>
      <c r="AB320" s="19">
        <v>174696</v>
      </c>
      <c r="AC320" s="178" t="str">
        <f>IF(OR(M320="13",M320="14",P320=8),"",IF(AND(OR(S320="AUTORIZADO", S320="PENDIENTE", S320="REDUCIDO", S320="AMPLIADO"),L320&lt;&gt;"HONORARIO" ), CONCATENATE(IF(H320="X","H",H320),"_",IF(OR(P320=5,P320=6),_xlfn.CONCAT(P320,"A"),P320),"_",VLOOKUP(T320,Datos!$B$2:$C$5,2,TRUE)),""))</f>
        <v>M_1_[4 a 10]</v>
      </c>
      <c r="AD320" s="178">
        <f t="shared" si="135"/>
        <v>349392</v>
      </c>
      <c r="AE320" s="82" t="str">
        <f t="shared" si="136"/>
        <v>-</v>
      </c>
      <c r="AF320" s="83" t="str">
        <f t="shared" si="137"/>
        <v>070601</v>
      </c>
      <c r="AG320" s="84"/>
      <c r="AH320" s="85" t="str">
        <f t="shared" si="138"/>
        <v>Corporación de Fomento de la Producción</v>
      </c>
      <c r="AI320" s="82" t="str">
        <f t="shared" si="139"/>
        <v>-</v>
      </c>
      <c r="AJ320" s="82">
        <f t="shared" si="140"/>
        <v>2</v>
      </c>
      <c r="AK320" s="82" t="str">
        <f t="shared" si="141"/>
        <v>-</v>
      </c>
      <c r="AL320" s="82" t="str">
        <f t="shared" si="142"/>
        <v>Identifica este registro como MUJER</v>
      </c>
      <c r="AM320" s="82" t="str">
        <f t="shared" si="143"/>
        <v>-</v>
      </c>
      <c r="AN320" s="82" t="str">
        <f t="shared" si="144"/>
        <v>-</v>
      </c>
      <c r="AO320" s="82" t="str">
        <f t="shared" si="145"/>
        <v>-</v>
      </c>
      <c r="AP320" s="57" t="str">
        <f t="shared" si="146"/>
        <v>-</v>
      </c>
      <c r="AQ320" s="86" t="str">
        <f t="shared" si="147"/>
        <v>-</v>
      </c>
      <c r="AR320" s="86" t="str">
        <f>IF(N320="","PRIMER_DIA en blanco",
IF(AND(M320="01",N320&gt;=L_Conversion!$C$118,N320&lt;=L_Conversion!$D$118),"-",
IF(AND(M320="02",N320&gt;=L_Conversion!$C$119,N320&lt;=L_Conversion!$D$119),"-",
IF(AND(M320="03",N320&gt;=L_Conversion!$C$120,N320&lt;=L_Conversion!$D$120),"-",
IF(AND(M320="04",N320&gt;=L_Conversion!$C$121,N320&lt;=L_Conversion!$D$121),"-",
IF(AND(M320="05",N320&gt;=L_Conversion!$C$122,N320&lt;=L_Conversion!$D$122),"-",
IF(AND(M320="06",N320&gt;=L_Conversion!$C$123,N320&lt;=L_Conversion!$D$123),"-",
IF(AND(M320="07",N320&gt;=L_Conversion!$C$124,N320&lt;=L_Conversion!$D$124),"-",
IF(AND(M320="08",N320&gt;=L_Conversion!$C$125,N320&lt;=L_Conversion!$D$125),"-",
IF(AND(M320="09",N320&gt;=L_Conversion!$C$126,N320&lt;=L_Conversion!$D$126),"-",
IF(AND(M320="10",N320&gt;=L_Conversion!$C$127,N320&lt;=L_Conversion!$D$127),"-",
IF(AND(M320="11",N320&gt;=L_Conversion!$C$128,N320&lt;=L_Conversion!$D$128),"-",
IF(AND(M320="12",N320&gt;=L_Conversion!$C$129,N320&lt;=L_Conversion!$D$129),"-",
IF(AND(M320="13",N320&gt;=L_Conversion!$C$116,N320&lt;=L_Conversion!$D$116),"-",
IF(AND(M320="14",N320&gt;=L_Conversion!$C$117,N320&lt;=L_Conversion!$D$117),"-",
"PRIMER_DIA fuera de rango")))))))))))))))</f>
        <v>-</v>
      </c>
      <c r="AS320" s="86" t="str">
        <f t="shared" si="148"/>
        <v>-</v>
      </c>
      <c r="AT320" s="86" t="str">
        <f t="shared" si="149"/>
        <v>-</v>
      </c>
      <c r="AU320" s="86" t="str">
        <f t="shared" si="150"/>
        <v>-</v>
      </c>
      <c r="AV320" s="86" t="str">
        <f t="shared" si="151"/>
        <v>-</v>
      </c>
      <c r="AW320" s="86" t="str">
        <f t="shared" si="152"/>
        <v>-</v>
      </c>
      <c r="AX320" s="86" t="str">
        <f t="shared" si="153"/>
        <v>-</v>
      </c>
      <c r="AY320" s="86" t="str">
        <f t="shared" si="154"/>
        <v>-</v>
      </c>
      <c r="AZ320" s="86" t="str">
        <f t="shared" si="155"/>
        <v>-</v>
      </c>
      <c r="BA320" s="86" t="str">
        <f t="shared" si="156"/>
        <v>-</v>
      </c>
      <c r="BB320" s="86" t="str">
        <f t="shared" si="157"/>
        <v>-</v>
      </c>
      <c r="BC320" s="86" t="str">
        <f t="shared" si="158"/>
        <v>-</v>
      </c>
      <c r="BD320" s="86" t="str">
        <f t="shared" si="159"/>
        <v>-</v>
      </c>
      <c r="BE320" s="86" t="str">
        <f t="shared" si="160"/>
        <v>-</v>
      </c>
      <c r="BF320" s="86" t="str">
        <f t="shared" si="161"/>
        <v>-</v>
      </c>
    </row>
    <row r="321" spans="1:58" x14ac:dyDescent="0.2">
      <c r="A321" s="19" t="s">
        <v>1144</v>
      </c>
      <c r="B321" s="19" t="s">
        <v>76</v>
      </c>
      <c r="C321" s="19">
        <v>9921999</v>
      </c>
      <c r="D321" s="81">
        <v>8</v>
      </c>
      <c r="E321" s="19" t="s">
        <v>1541</v>
      </c>
      <c r="F321" s="19" t="s">
        <v>1394</v>
      </c>
      <c r="G321" s="19" t="s">
        <v>1650</v>
      </c>
      <c r="H321" s="19" t="s">
        <v>1033</v>
      </c>
      <c r="I321" s="19" t="s">
        <v>663</v>
      </c>
      <c r="J321" s="19">
        <v>80</v>
      </c>
      <c r="K321" s="19" t="s">
        <v>563</v>
      </c>
      <c r="L321" s="19" t="s">
        <v>516</v>
      </c>
      <c r="M321" s="19" t="s">
        <v>16</v>
      </c>
      <c r="N321" s="19">
        <v>45741</v>
      </c>
      <c r="O321" s="19">
        <v>1</v>
      </c>
      <c r="P321" s="81">
        <v>1</v>
      </c>
      <c r="Q321" s="19" t="s">
        <v>23</v>
      </c>
      <c r="R321" s="19" t="s">
        <v>11</v>
      </c>
      <c r="S321" s="19" t="s">
        <v>23</v>
      </c>
      <c r="T321" s="19">
        <v>1</v>
      </c>
      <c r="U321" s="19" t="s">
        <v>11</v>
      </c>
      <c r="V321" s="19" t="s">
        <v>19</v>
      </c>
      <c r="W321" s="19" t="s">
        <v>19</v>
      </c>
      <c r="X321" s="19">
        <v>244</v>
      </c>
      <c r="Y321" s="19" t="s">
        <v>735</v>
      </c>
      <c r="Z321" s="19">
        <v>1</v>
      </c>
      <c r="AA321" s="19">
        <v>244</v>
      </c>
      <c r="AB321" s="19">
        <v>244</v>
      </c>
      <c r="AC321" s="178" t="str">
        <f>IF(OR(M321="13",M321="14",P321=8),"",IF(AND(OR(S321="AUTORIZADO", S321="PENDIENTE", S321="REDUCIDO", S321="AMPLIADO"),L321&lt;&gt;"HONORARIO" ), CONCATENATE(IF(H321="X","H",H321),"_",IF(OR(P321=5,P321=6),_xlfn.CONCAT(P321,"A"),P321),"_",VLOOKUP(T321,Datos!$B$2:$C$5,2,TRUE)),""))</f>
        <v>M_1_[hasta 3]</v>
      </c>
      <c r="AD321" s="178">
        <f t="shared" si="135"/>
        <v>488</v>
      </c>
      <c r="AE321" s="82" t="str">
        <f t="shared" si="136"/>
        <v>-</v>
      </c>
      <c r="AF321" s="83" t="str">
        <f t="shared" si="137"/>
        <v>070601</v>
      </c>
      <c r="AG321" s="84"/>
      <c r="AH321" s="85" t="str">
        <f t="shared" si="138"/>
        <v>Corporación de Fomento de la Producción</v>
      </c>
      <c r="AI321" s="82" t="str">
        <f t="shared" si="139"/>
        <v>-</v>
      </c>
      <c r="AJ321" s="82">
        <f t="shared" si="140"/>
        <v>8</v>
      </c>
      <c r="AK321" s="82" t="str">
        <f t="shared" si="141"/>
        <v>-</v>
      </c>
      <c r="AL321" s="82" t="str">
        <f t="shared" si="142"/>
        <v>Identifica este registro como MUJER</v>
      </c>
      <c r="AM321" s="82" t="str">
        <f t="shared" si="143"/>
        <v>-</v>
      </c>
      <c r="AN321" s="82" t="str">
        <f t="shared" si="144"/>
        <v>-</v>
      </c>
      <c r="AO321" s="82" t="str">
        <f t="shared" si="145"/>
        <v>-</v>
      </c>
      <c r="AP321" s="57" t="str">
        <f t="shared" si="146"/>
        <v>-</v>
      </c>
      <c r="AQ321" s="86" t="str">
        <f t="shared" si="147"/>
        <v>-</v>
      </c>
      <c r="AR321" s="86" t="str">
        <f>IF(N321="","PRIMER_DIA en blanco",
IF(AND(M321="01",N321&gt;=L_Conversion!$C$118,N321&lt;=L_Conversion!$D$118),"-",
IF(AND(M321="02",N321&gt;=L_Conversion!$C$119,N321&lt;=L_Conversion!$D$119),"-",
IF(AND(M321="03",N321&gt;=L_Conversion!$C$120,N321&lt;=L_Conversion!$D$120),"-",
IF(AND(M321="04",N321&gt;=L_Conversion!$C$121,N321&lt;=L_Conversion!$D$121),"-",
IF(AND(M321="05",N321&gt;=L_Conversion!$C$122,N321&lt;=L_Conversion!$D$122),"-",
IF(AND(M321="06",N321&gt;=L_Conversion!$C$123,N321&lt;=L_Conversion!$D$123),"-",
IF(AND(M321="07",N321&gt;=L_Conversion!$C$124,N321&lt;=L_Conversion!$D$124),"-",
IF(AND(M321="08",N321&gt;=L_Conversion!$C$125,N321&lt;=L_Conversion!$D$125),"-",
IF(AND(M321="09",N321&gt;=L_Conversion!$C$126,N321&lt;=L_Conversion!$D$126),"-",
IF(AND(M321="10",N321&gt;=L_Conversion!$C$127,N321&lt;=L_Conversion!$D$127),"-",
IF(AND(M321="11",N321&gt;=L_Conversion!$C$128,N321&lt;=L_Conversion!$D$128),"-",
IF(AND(M321="12",N321&gt;=L_Conversion!$C$129,N321&lt;=L_Conversion!$D$129),"-",
IF(AND(M321="13",N321&gt;=L_Conversion!$C$116,N321&lt;=L_Conversion!$D$116),"-",
IF(AND(M321="14",N321&gt;=L_Conversion!$C$117,N321&lt;=L_Conversion!$D$117),"-",
"PRIMER_DIA fuera de rango")))))))))))))))</f>
        <v>-</v>
      </c>
      <c r="AS321" s="86" t="str">
        <f t="shared" si="148"/>
        <v>-</v>
      </c>
      <c r="AT321" s="86" t="str">
        <f t="shared" si="149"/>
        <v>-</v>
      </c>
      <c r="AU321" s="86" t="str">
        <f t="shared" si="150"/>
        <v>-</v>
      </c>
      <c r="AV321" s="86" t="str">
        <f t="shared" si="151"/>
        <v>-</v>
      </c>
      <c r="AW321" s="86" t="str">
        <f t="shared" si="152"/>
        <v>-</v>
      </c>
      <c r="AX321" s="86" t="str">
        <f t="shared" si="153"/>
        <v>-</v>
      </c>
      <c r="AY321" s="86" t="str">
        <f t="shared" si="154"/>
        <v>-</v>
      </c>
      <c r="AZ321" s="86" t="str">
        <f t="shared" si="155"/>
        <v>-</v>
      </c>
      <c r="BA321" s="86" t="str">
        <f t="shared" si="156"/>
        <v>-</v>
      </c>
      <c r="BB321" s="86" t="str">
        <f t="shared" si="157"/>
        <v>-</v>
      </c>
      <c r="BC321" s="86" t="str">
        <f t="shared" si="158"/>
        <v>-</v>
      </c>
      <c r="BD321" s="86" t="str">
        <f t="shared" si="159"/>
        <v>-</v>
      </c>
      <c r="BE321" s="86" t="str">
        <f t="shared" si="160"/>
        <v>-</v>
      </c>
      <c r="BF321" s="86" t="str">
        <f t="shared" si="161"/>
        <v>-</v>
      </c>
    </row>
    <row r="322" spans="1:58" x14ac:dyDescent="0.2">
      <c r="A322" s="19" t="s">
        <v>1144</v>
      </c>
      <c r="B322" s="19" t="s">
        <v>76</v>
      </c>
      <c r="C322" s="19">
        <v>17063928</v>
      </c>
      <c r="D322" s="81">
        <v>6</v>
      </c>
      <c r="E322" s="19" t="s">
        <v>1572</v>
      </c>
      <c r="F322" s="19" t="s">
        <v>1182</v>
      </c>
      <c r="G322" s="19" t="s">
        <v>1573</v>
      </c>
      <c r="H322" s="19" t="s">
        <v>1033</v>
      </c>
      <c r="I322" s="19" t="s">
        <v>662</v>
      </c>
      <c r="J322" s="19">
        <v>80</v>
      </c>
      <c r="K322" s="19" t="s">
        <v>567</v>
      </c>
      <c r="L322" s="19" t="s">
        <v>502</v>
      </c>
      <c r="M322" s="19" t="s">
        <v>16</v>
      </c>
      <c r="N322" s="19">
        <v>45741</v>
      </c>
      <c r="O322" s="19">
        <v>11</v>
      </c>
      <c r="P322" s="81">
        <v>1</v>
      </c>
      <c r="Q322" s="19" t="s">
        <v>23</v>
      </c>
      <c r="R322" s="19" t="s">
        <v>11</v>
      </c>
      <c r="S322" s="19" t="s">
        <v>23</v>
      </c>
      <c r="T322" s="19">
        <v>11</v>
      </c>
      <c r="U322" s="19" t="s">
        <v>11</v>
      </c>
      <c r="V322" s="19" t="s">
        <v>11</v>
      </c>
      <c r="W322" s="19" t="s">
        <v>19</v>
      </c>
      <c r="X322" s="19">
        <v>423480</v>
      </c>
      <c r="Y322" s="19" t="s">
        <v>735</v>
      </c>
      <c r="Z322" s="19">
        <v>11</v>
      </c>
      <c r="AA322" s="19">
        <v>423480</v>
      </c>
      <c r="AB322" s="19">
        <v>423480</v>
      </c>
      <c r="AC322" s="178" t="str">
        <f>IF(OR(M322="13",M322="14",P322=8),"",IF(AND(OR(S322="AUTORIZADO", S322="PENDIENTE", S322="REDUCIDO", S322="AMPLIADO"),L322&lt;&gt;"HONORARIO" ), CONCATENATE(IF(H322="X","H",H322),"_",IF(OR(P322=5,P322=6),_xlfn.CONCAT(P322,"A"),P322),"_",VLOOKUP(T322,Datos!$B$2:$C$5,2,TRUE)),""))</f>
        <v>M_1_[11 +]</v>
      </c>
      <c r="AD322" s="178">
        <f t="shared" si="135"/>
        <v>846960</v>
      </c>
      <c r="AE322" s="82" t="str">
        <f t="shared" si="136"/>
        <v>-</v>
      </c>
      <c r="AF322" s="83" t="str">
        <f t="shared" si="137"/>
        <v>070601</v>
      </c>
      <c r="AG322" s="84"/>
      <c r="AH322" s="85" t="str">
        <f t="shared" si="138"/>
        <v>Corporación de Fomento de la Producción</v>
      </c>
      <c r="AI322" s="82" t="str">
        <f t="shared" si="139"/>
        <v>-</v>
      </c>
      <c r="AJ322" s="82">
        <f t="shared" si="140"/>
        <v>6</v>
      </c>
      <c r="AK322" s="82" t="str">
        <f t="shared" si="141"/>
        <v>-</v>
      </c>
      <c r="AL322" s="82" t="str">
        <f t="shared" si="142"/>
        <v>Identifica este registro como MUJER</v>
      </c>
      <c r="AM322" s="82" t="str">
        <f t="shared" si="143"/>
        <v>-</v>
      </c>
      <c r="AN322" s="82" t="str">
        <f t="shared" si="144"/>
        <v>-</v>
      </c>
      <c r="AO322" s="82" t="str">
        <f t="shared" si="145"/>
        <v>-</v>
      </c>
      <c r="AP322" s="57" t="str">
        <f t="shared" si="146"/>
        <v>-</v>
      </c>
      <c r="AQ322" s="86" t="str">
        <f t="shared" si="147"/>
        <v>-</v>
      </c>
      <c r="AR322" s="86" t="str">
        <f>IF(N322="","PRIMER_DIA en blanco",
IF(AND(M322="01",N322&gt;=L_Conversion!$C$118,N322&lt;=L_Conversion!$D$118),"-",
IF(AND(M322="02",N322&gt;=L_Conversion!$C$119,N322&lt;=L_Conversion!$D$119),"-",
IF(AND(M322="03",N322&gt;=L_Conversion!$C$120,N322&lt;=L_Conversion!$D$120),"-",
IF(AND(M322="04",N322&gt;=L_Conversion!$C$121,N322&lt;=L_Conversion!$D$121),"-",
IF(AND(M322="05",N322&gt;=L_Conversion!$C$122,N322&lt;=L_Conversion!$D$122),"-",
IF(AND(M322="06",N322&gt;=L_Conversion!$C$123,N322&lt;=L_Conversion!$D$123),"-",
IF(AND(M322="07",N322&gt;=L_Conversion!$C$124,N322&lt;=L_Conversion!$D$124),"-",
IF(AND(M322="08",N322&gt;=L_Conversion!$C$125,N322&lt;=L_Conversion!$D$125),"-",
IF(AND(M322="09",N322&gt;=L_Conversion!$C$126,N322&lt;=L_Conversion!$D$126),"-",
IF(AND(M322="10",N322&gt;=L_Conversion!$C$127,N322&lt;=L_Conversion!$D$127),"-",
IF(AND(M322="11",N322&gt;=L_Conversion!$C$128,N322&lt;=L_Conversion!$D$128),"-",
IF(AND(M322="12",N322&gt;=L_Conversion!$C$129,N322&lt;=L_Conversion!$D$129),"-",
IF(AND(M322="13",N322&gt;=L_Conversion!$C$116,N322&lt;=L_Conversion!$D$116),"-",
IF(AND(M322="14",N322&gt;=L_Conversion!$C$117,N322&lt;=L_Conversion!$D$117),"-",
"PRIMER_DIA fuera de rango")))))))))))))))</f>
        <v>-</v>
      </c>
      <c r="AS322" s="86" t="str">
        <f t="shared" si="148"/>
        <v>-</v>
      </c>
      <c r="AT322" s="86" t="str">
        <f t="shared" si="149"/>
        <v>-</v>
      </c>
      <c r="AU322" s="86" t="str">
        <f t="shared" si="150"/>
        <v>-</v>
      </c>
      <c r="AV322" s="86" t="str">
        <f t="shared" si="151"/>
        <v>-</v>
      </c>
      <c r="AW322" s="86" t="str">
        <f t="shared" si="152"/>
        <v>-</v>
      </c>
      <c r="AX322" s="86" t="str">
        <f t="shared" si="153"/>
        <v>-</v>
      </c>
      <c r="AY322" s="86" t="str">
        <f t="shared" si="154"/>
        <v>-</v>
      </c>
      <c r="AZ322" s="86" t="str">
        <f t="shared" si="155"/>
        <v>-</v>
      </c>
      <c r="BA322" s="86" t="str">
        <f t="shared" si="156"/>
        <v>-</v>
      </c>
      <c r="BB322" s="86" t="str">
        <f t="shared" si="157"/>
        <v>-</v>
      </c>
      <c r="BC322" s="86" t="str">
        <f t="shared" si="158"/>
        <v>-</v>
      </c>
      <c r="BD322" s="86" t="str">
        <f t="shared" si="159"/>
        <v>-</v>
      </c>
      <c r="BE322" s="86" t="str">
        <f t="shared" si="160"/>
        <v>-</v>
      </c>
      <c r="BF322" s="86" t="str">
        <f t="shared" si="161"/>
        <v>-</v>
      </c>
    </row>
    <row r="323" spans="1:58" x14ac:dyDescent="0.2">
      <c r="A323" s="19" t="s">
        <v>1144</v>
      </c>
      <c r="B323" s="19" t="s">
        <v>76</v>
      </c>
      <c r="C323" s="19">
        <v>13450578</v>
      </c>
      <c r="D323" s="81">
        <v>8</v>
      </c>
      <c r="E323" s="19" t="s">
        <v>1393</v>
      </c>
      <c r="F323" s="19" t="s">
        <v>1394</v>
      </c>
      <c r="G323" s="19" t="s">
        <v>1299</v>
      </c>
      <c r="H323" s="19" t="s">
        <v>1033</v>
      </c>
      <c r="I323" s="19" t="s">
        <v>662</v>
      </c>
      <c r="J323" s="19">
        <v>80</v>
      </c>
      <c r="K323" s="19" t="s">
        <v>567</v>
      </c>
      <c r="L323" s="19" t="s">
        <v>502</v>
      </c>
      <c r="M323" s="19" t="s">
        <v>16</v>
      </c>
      <c r="N323" s="19">
        <v>45741</v>
      </c>
      <c r="O323" s="19">
        <v>15</v>
      </c>
      <c r="P323" s="81">
        <v>1</v>
      </c>
      <c r="Q323" s="19" t="s">
        <v>23</v>
      </c>
      <c r="R323" s="19" t="s">
        <v>11</v>
      </c>
      <c r="S323" s="19" t="s">
        <v>23</v>
      </c>
      <c r="T323" s="19">
        <v>15</v>
      </c>
      <c r="U323" s="19" t="s">
        <v>11</v>
      </c>
      <c r="V323" s="19" t="s">
        <v>11</v>
      </c>
      <c r="W323" s="19" t="s">
        <v>19</v>
      </c>
      <c r="X323" s="19">
        <v>266393</v>
      </c>
      <c r="Y323" s="19" t="s">
        <v>735</v>
      </c>
      <c r="Z323" s="19">
        <v>15</v>
      </c>
      <c r="AA323" s="19">
        <v>266393</v>
      </c>
      <c r="AB323" s="19">
        <v>266393</v>
      </c>
      <c r="AC323" s="178" t="str">
        <f>IF(OR(M323="13",M323="14",P323=8),"",IF(AND(OR(S323="AUTORIZADO", S323="PENDIENTE", S323="REDUCIDO", S323="AMPLIADO"),L323&lt;&gt;"HONORARIO" ), CONCATENATE(IF(H323="X","H",H323),"_",IF(OR(P323=5,P323=6),_xlfn.CONCAT(P323,"A"),P323),"_",VLOOKUP(T323,Datos!$B$2:$C$5,2,TRUE)),""))</f>
        <v>M_1_[11 +]</v>
      </c>
      <c r="AD323" s="178">
        <f t="shared" si="135"/>
        <v>532786</v>
      </c>
      <c r="AE323" s="82" t="str">
        <f t="shared" si="136"/>
        <v>-</v>
      </c>
      <c r="AF323" s="83" t="str">
        <f t="shared" si="137"/>
        <v>070601</v>
      </c>
      <c r="AG323" s="84"/>
      <c r="AH323" s="85" t="str">
        <f t="shared" si="138"/>
        <v>Corporación de Fomento de la Producción</v>
      </c>
      <c r="AI323" s="82" t="str">
        <f t="shared" si="139"/>
        <v>-</v>
      </c>
      <c r="AJ323" s="82">
        <f t="shared" si="140"/>
        <v>8</v>
      </c>
      <c r="AK323" s="82" t="str">
        <f t="shared" si="141"/>
        <v>-</v>
      </c>
      <c r="AL323" s="82" t="str">
        <f t="shared" si="142"/>
        <v>Identifica este registro como MUJER</v>
      </c>
      <c r="AM323" s="82" t="str">
        <f t="shared" si="143"/>
        <v>-</v>
      </c>
      <c r="AN323" s="82" t="str">
        <f t="shared" si="144"/>
        <v>-</v>
      </c>
      <c r="AO323" s="82" t="str">
        <f t="shared" si="145"/>
        <v>-</v>
      </c>
      <c r="AP323" s="57" t="str">
        <f t="shared" si="146"/>
        <v>-</v>
      </c>
      <c r="AQ323" s="86" t="str">
        <f t="shared" si="147"/>
        <v>-</v>
      </c>
      <c r="AR323" s="86" t="str">
        <f>IF(N323="","PRIMER_DIA en blanco",
IF(AND(M323="01",N323&gt;=L_Conversion!$C$118,N323&lt;=L_Conversion!$D$118),"-",
IF(AND(M323="02",N323&gt;=L_Conversion!$C$119,N323&lt;=L_Conversion!$D$119),"-",
IF(AND(M323="03",N323&gt;=L_Conversion!$C$120,N323&lt;=L_Conversion!$D$120),"-",
IF(AND(M323="04",N323&gt;=L_Conversion!$C$121,N323&lt;=L_Conversion!$D$121),"-",
IF(AND(M323="05",N323&gt;=L_Conversion!$C$122,N323&lt;=L_Conversion!$D$122),"-",
IF(AND(M323="06",N323&gt;=L_Conversion!$C$123,N323&lt;=L_Conversion!$D$123),"-",
IF(AND(M323="07",N323&gt;=L_Conversion!$C$124,N323&lt;=L_Conversion!$D$124),"-",
IF(AND(M323="08",N323&gt;=L_Conversion!$C$125,N323&lt;=L_Conversion!$D$125),"-",
IF(AND(M323="09",N323&gt;=L_Conversion!$C$126,N323&lt;=L_Conversion!$D$126),"-",
IF(AND(M323="10",N323&gt;=L_Conversion!$C$127,N323&lt;=L_Conversion!$D$127),"-",
IF(AND(M323="11",N323&gt;=L_Conversion!$C$128,N323&lt;=L_Conversion!$D$128),"-",
IF(AND(M323="12",N323&gt;=L_Conversion!$C$129,N323&lt;=L_Conversion!$D$129),"-",
IF(AND(M323="13",N323&gt;=L_Conversion!$C$116,N323&lt;=L_Conversion!$D$116),"-",
IF(AND(M323="14",N323&gt;=L_Conversion!$C$117,N323&lt;=L_Conversion!$D$117),"-",
"PRIMER_DIA fuera de rango")))))))))))))))</f>
        <v>-</v>
      </c>
      <c r="AS323" s="86" t="str">
        <f t="shared" si="148"/>
        <v>-</v>
      </c>
      <c r="AT323" s="86" t="str">
        <f t="shared" si="149"/>
        <v>-</v>
      </c>
      <c r="AU323" s="86" t="str">
        <f t="shared" si="150"/>
        <v>-</v>
      </c>
      <c r="AV323" s="86" t="str">
        <f t="shared" si="151"/>
        <v>-</v>
      </c>
      <c r="AW323" s="86" t="str">
        <f t="shared" si="152"/>
        <v>-</v>
      </c>
      <c r="AX323" s="86" t="str">
        <f t="shared" si="153"/>
        <v>-</v>
      </c>
      <c r="AY323" s="86" t="str">
        <f t="shared" si="154"/>
        <v>-</v>
      </c>
      <c r="AZ323" s="86" t="str">
        <f t="shared" si="155"/>
        <v>-</v>
      </c>
      <c r="BA323" s="86" t="str">
        <f t="shared" si="156"/>
        <v>-</v>
      </c>
      <c r="BB323" s="86" t="str">
        <f t="shared" si="157"/>
        <v>-</v>
      </c>
      <c r="BC323" s="86" t="str">
        <f t="shared" si="158"/>
        <v>-</v>
      </c>
      <c r="BD323" s="86" t="str">
        <f t="shared" si="159"/>
        <v>-</v>
      </c>
      <c r="BE323" s="86" t="str">
        <f t="shared" si="160"/>
        <v>-</v>
      </c>
      <c r="BF323" s="86" t="str">
        <f t="shared" si="161"/>
        <v>-</v>
      </c>
    </row>
    <row r="324" spans="1:58" x14ac:dyDescent="0.2">
      <c r="A324" s="19" t="s">
        <v>1144</v>
      </c>
      <c r="B324" s="19" t="s">
        <v>76</v>
      </c>
      <c r="C324" s="19">
        <v>15057493</v>
      </c>
      <c r="D324" s="81">
        <v>5</v>
      </c>
      <c r="E324" s="19" t="s">
        <v>1651</v>
      </c>
      <c r="F324" s="19" t="s">
        <v>1652</v>
      </c>
      <c r="G324" s="19" t="s">
        <v>1653</v>
      </c>
      <c r="H324" s="19" t="s">
        <v>663</v>
      </c>
      <c r="I324" s="19" t="s">
        <v>663</v>
      </c>
      <c r="J324" s="19">
        <v>80</v>
      </c>
      <c r="K324" s="19" t="s">
        <v>563</v>
      </c>
      <c r="L324" s="19" t="s">
        <v>516</v>
      </c>
      <c r="M324" s="19" t="s">
        <v>16</v>
      </c>
      <c r="N324" s="19">
        <v>45741</v>
      </c>
      <c r="O324" s="19">
        <v>4</v>
      </c>
      <c r="P324" s="81">
        <v>1</v>
      </c>
      <c r="Q324" s="19" t="s">
        <v>23</v>
      </c>
      <c r="R324" s="19" t="s">
        <v>11</v>
      </c>
      <c r="S324" s="19" t="s">
        <v>23</v>
      </c>
      <c r="T324" s="19">
        <v>4</v>
      </c>
      <c r="U324" s="19" t="s">
        <v>11</v>
      </c>
      <c r="V324" s="19" t="s">
        <v>11</v>
      </c>
      <c r="W324" s="19" t="s">
        <v>19</v>
      </c>
      <c r="X324" s="19">
        <v>170564</v>
      </c>
      <c r="Y324" s="19" t="s">
        <v>735</v>
      </c>
      <c r="Z324" s="19">
        <v>4</v>
      </c>
      <c r="AA324" s="19">
        <v>170564</v>
      </c>
      <c r="AB324" s="19">
        <v>170564</v>
      </c>
      <c r="AC324" s="178" t="str">
        <f>IF(OR(M324="13",M324="14",P324=8),"",IF(AND(OR(S324="AUTORIZADO", S324="PENDIENTE", S324="REDUCIDO", S324="AMPLIADO"),L324&lt;&gt;"HONORARIO" ), CONCATENATE(IF(H324="X","H",H324),"_",IF(OR(P324=5,P324=6),_xlfn.CONCAT(P324,"A"),P324),"_",VLOOKUP(T324,Datos!$B$2:$C$5,2,TRUE)),""))</f>
        <v>H_1_[4 a 10]</v>
      </c>
      <c r="AD324" s="178">
        <f t="shared" si="135"/>
        <v>341128</v>
      </c>
      <c r="AE324" s="82" t="str">
        <f t="shared" si="136"/>
        <v>-</v>
      </c>
      <c r="AF324" s="83" t="str">
        <f t="shared" si="137"/>
        <v>070601</v>
      </c>
      <c r="AG324" s="84"/>
      <c r="AH324" s="85" t="str">
        <f t="shared" si="138"/>
        <v>Corporación de Fomento de la Producción</v>
      </c>
      <c r="AI324" s="82" t="str">
        <f t="shared" si="139"/>
        <v>-</v>
      </c>
      <c r="AJ324" s="82">
        <f t="shared" si="140"/>
        <v>5</v>
      </c>
      <c r="AK324" s="82" t="str">
        <f t="shared" si="141"/>
        <v>-</v>
      </c>
      <c r="AL324" s="82" t="str">
        <f t="shared" si="142"/>
        <v>Identifica este registro como HOMBRE</v>
      </c>
      <c r="AM324" s="82" t="str">
        <f t="shared" si="143"/>
        <v>-</v>
      </c>
      <c r="AN324" s="82" t="str">
        <f t="shared" si="144"/>
        <v>-</v>
      </c>
      <c r="AO324" s="82" t="str">
        <f t="shared" si="145"/>
        <v>-</v>
      </c>
      <c r="AP324" s="57" t="str">
        <f t="shared" si="146"/>
        <v>-</v>
      </c>
      <c r="AQ324" s="86" t="str">
        <f t="shared" si="147"/>
        <v>-</v>
      </c>
      <c r="AR324" s="86" t="str">
        <f>IF(N324="","PRIMER_DIA en blanco",
IF(AND(M324="01",N324&gt;=L_Conversion!$C$118,N324&lt;=L_Conversion!$D$118),"-",
IF(AND(M324="02",N324&gt;=L_Conversion!$C$119,N324&lt;=L_Conversion!$D$119),"-",
IF(AND(M324="03",N324&gt;=L_Conversion!$C$120,N324&lt;=L_Conversion!$D$120),"-",
IF(AND(M324="04",N324&gt;=L_Conversion!$C$121,N324&lt;=L_Conversion!$D$121),"-",
IF(AND(M324="05",N324&gt;=L_Conversion!$C$122,N324&lt;=L_Conversion!$D$122),"-",
IF(AND(M324="06",N324&gt;=L_Conversion!$C$123,N324&lt;=L_Conversion!$D$123),"-",
IF(AND(M324="07",N324&gt;=L_Conversion!$C$124,N324&lt;=L_Conversion!$D$124),"-",
IF(AND(M324="08",N324&gt;=L_Conversion!$C$125,N324&lt;=L_Conversion!$D$125),"-",
IF(AND(M324="09",N324&gt;=L_Conversion!$C$126,N324&lt;=L_Conversion!$D$126),"-",
IF(AND(M324="10",N324&gt;=L_Conversion!$C$127,N324&lt;=L_Conversion!$D$127),"-",
IF(AND(M324="11",N324&gt;=L_Conversion!$C$128,N324&lt;=L_Conversion!$D$128),"-",
IF(AND(M324="12",N324&gt;=L_Conversion!$C$129,N324&lt;=L_Conversion!$D$129),"-",
IF(AND(M324="13",N324&gt;=L_Conversion!$C$116,N324&lt;=L_Conversion!$D$116),"-",
IF(AND(M324="14",N324&gt;=L_Conversion!$C$117,N324&lt;=L_Conversion!$D$117),"-",
"PRIMER_DIA fuera de rango")))))))))))))))</f>
        <v>-</v>
      </c>
      <c r="AS324" s="86" t="str">
        <f t="shared" si="148"/>
        <v>-</v>
      </c>
      <c r="AT324" s="86" t="str">
        <f t="shared" si="149"/>
        <v>-</v>
      </c>
      <c r="AU324" s="86" t="str">
        <f t="shared" si="150"/>
        <v>-</v>
      </c>
      <c r="AV324" s="86" t="str">
        <f t="shared" si="151"/>
        <v>-</v>
      </c>
      <c r="AW324" s="86" t="str">
        <f t="shared" si="152"/>
        <v>-</v>
      </c>
      <c r="AX324" s="86" t="str">
        <f t="shared" si="153"/>
        <v>-</v>
      </c>
      <c r="AY324" s="86" t="str">
        <f t="shared" si="154"/>
        <v>-</v>
      </c>
      <c r="AZ324" s="86" t="str">
        <f t="shared" si="155"/>
        <v>-</v>
      </c>
      <c r="BA324" s="86" t="str">
        <f t="shared" si="156"/>
        <v>-</v>
      </c>
      <c r="BB324" s="86" t="str">
        <f t="shared" si="157"/>
        <v>-</v>
      </c>
      <c r="BC324" s="86" t="str">
        <f t="shared" si="158"/>
        <v>-</v>
      </c>
      <c r="BD324" s="86" t="str">
        <f t="shared" si="159"/>
        <v>-</v>
      </c>
      <c r="BE324" s="86" t="str">
        <f t="shared" si="160"/>
        <v>-</v>
      </c>
      <c r="BF324" s="86" t="str">
        <f t="shared" si="161"/>
        <v>-</v>
      </c>
    </row>
    <row r="325" spans="1:58" x14ac:dyDescent="0.2">
      <c r="A325" s="19" t="s">
        <v>1144</v>
      </c>
      <c r="B325" s="19" t="s">
        <v>1621</v>
      </c>
      <c r="C325" s="19">
        <v>10367707</v>
      </c>
      <c r="D325" s="81">
        <v>6</v>
      </c>
      <c r="E325" s="19" t="s">
        <v>1152</v>
      </c>
      <c r="F325" s="19" t="s">
        <v>1215</v>
      </c>
      <c r="G325" s="19" t="s">
        <v>1654</v>
      </c>
      <c r="H325" s="19" t="s">
        <v>1033</v>
      </c>
      <c r="I325" s="19" t="s">
        <v>663</v>
      </c>
      <c r="J325" s="19">
        <v>80</v>
      </c>
      <c r="K325" s="19" t="s">
        <v>563</v>
      </c>
      <c r="L325" s="19" t="s">
        <v>516</v>
      </c>
      <c r="M325" s="19" t="s">
        <v>16</v>
      </c>
      <c r="N325" s="19">
        <v>45741</v>
      </c>
      <c r="O325" s="19">
        <v>5</v>
      </c>
      <c r="P325" s="81">
        <v>1</v>
      </c>
      <c r="Q325" s="19" t="s">
        <v>23</v>
      </c>
      <c r="R325" s="19" t="s">
        <v>11</v>
      </c>
      <c r="S325" s="19" t="s">
        <v>23</v>
      </c>
      <c r="T325" s="19">
        <v>5</v>
      </c>
      <c r="U325" s="19" t="s">
        <v>11</v>
      </c>
      <c r="V325" s="19" t="s">
        <v>11</v>
      </c>
      <c r="W325" s="19" t="s">
        <v>19</v>
      </c>
      <c r="X325" s="19">
        <v>278794</v>
      </c>
      <c r="Y325" s="19" t="s">
        <v>735</v>
      </c>
      <c r="Z325" s="19">
        <v>5</v>
      </c>
      <c r="AA325" s="19">
        <v>278794</v>
      </c>
      <c r="AB325" s="19">
        <v>278794</v>
      </c>
      <c r="AC325" s="178" t="str">
        <f>IF(OR(M325="13",M325="14",P325=8),"",IF(AND(OR(S325="AUTORIZADO", S325="PENDIENTE", S325="REDUCIDO", S325="AMPLIADO"),L325&lt;&gt;"HONORARIO" ), CONCATENATE(IF(H325="X","H",H325),"_",IF(OR(P325=5,P325=6),_xlfn.CONCAT(P325,"A"),P325),"_",VLOOKUP(T325,Datos!$B$2:$C$5,2,TRUE)),""))</f>
        <v>M_1_[4 a 10]</v>
      </c>
      <c r="AD325" s="178">
        <f t="shared" si="135"/>
        <v>557588</v>
      </c>
      <c r="AE325" s="82" t="str">
        <f t="shared" si="136"/>
        <v>-</v>
      </c>
      <c r="AF325" s="83" t="str">
        <f t="shared" si="137"/>
        <v>Revisar</v>
      </c>
      <c r="AG325" s="84"/>
      <c r="AH325" s="85" t="str">
        <f t="shared" si="138"/>
        <v>Corregir código servicio</v>
      </c>
      <c r="AI325" s="82" t="str">
        <f t="shared" si="139"/>
        <v>-</v>
      </c>
      <c r="AJ325" s="82">
        <f t="shared" si="140"/>
        <v>6</v>
      </c>
      <c r="AK325" s="82" t="str">
        <f t="shared" si="141"/>
        <v>-</v>
      </c>
      <c r="AL325" s="82" t="str">
        <f t="shared" si="142"/>
        <v>Identifica este registro como MUJER</v>
      </c>
      <c r="AM325" s="82" t="str">
        <f t="shared" si="143"/>
        <v>-</v>
      </c>
      <c r="AN325" s="82" t="str">
        <f t="shared" si="144"/>
        <v>-</v>
      </c>
      <c r="AO325" s="82" t="str">
        <f t="shared" si="145"/>
        <v>-</v>
      </c>
      <c r="AP325" s="57" t="str">
        <f t="shared" si="146"/>
        <v>-</v>
      </c>
      <c r="AQ325" s="86" t="str">
        <f t="shared" si="147"/>
        <v>-</v>
      </c>
      <c r="AR325" s="86" t="str">
        <f>IF(N325="","PRIMER_DIA en blanco",
IF(AND(M325="01",N325&gt;=L_Conversion!$C$118,N325&lt;=L_Conversion!$D$118),"-",
IF(AND(M325="02",N325&gt;=L_Conversion!$C$119,N325&lt;=L_Conversion!$D$119),"-",
IF(AND(M325="03",N325&gt;=L_Conversion!$C$120,N325&lt;=L_Conversion!$D$120),"-",
IF(AND(M325="04",N325&gt;=L_Conversion!$C$121,N325&lt;=L_Conversion!$D$121),"-",
IF(AND(M325="05",N325&gt;=L_Conversion!$C$122,N325&lt;=L_Conversion!$D$122),"-",
IF(AND(M325="06",N325&gt;=L_Conversion!$C$123,N325&lt;=L_Conversion!$D$123),"-",
IF(AND(M325="07",N325&gt;=L_Conversion!$C$124,N325&lt;=L_Conversion!$D$124),"-",
IF(AND(M325="08",N325&gt;=L_Conversion!$C$125,N325&lt;=L_Conversion!$D$125),"-",
IF(AND(M325="09",N325&gt;=L_Conversion!$C$126,N325&lt;=L_Conversion!$D$126),"-",
IF(AND(M325="10",N325&gt;=L_Conversion!$C$127,N325&lt;=L_Conversion!$D$127),"-",
IF(AND(M325="11",N325&gt;=L_Conversion!$C$128,N325&lt;=L_Conversion!$D$128),"-",
IF(AND(M325="12",N325&gt;=L_Conversion!$C$129,N325&lt;=L_Conversion!$D$129),"-",
IF(AND(M325="13",N325&gt;=L_Conversion!$C$116,N325&lt;=L_Conversion!$D$116),"-",
IF(AND(M325="14",N325&gt;=L_Conversion!$C$117,N325&lt;=L_Conversion!$D$117),"-",
"PRIMER_DIA fuera de rango")))))))))))))))</f>
        <v>-</v>
      </c>
      <c r="AS325" s="86" t="str">
        <f t="shared" si="148"/>
        <v>-</v>
      </c>
      <c r="AT325" s="86" t="str">
        <f t="shared" si="149"/>
        <v>-</v>
      </c>
      <c r="AU325" s="86" t="str">
        <f t="shared" si="150"/>
        <v>-</v>
      </c>
      <c r="AV325" s="86" t="str">
        <f t="shared" si="151"/>
        <v>-</v>
      </c>
      <c r="AW325" s="86" t="str">
        <f t="shared" si="152"/>
        <v>-</v>
      </c>
      <c r="AX325" s="86" t="str">
        <f t="shared" si="153"/>
        <v>-</v>
      </c>
      <c r="AY325" s="86" t="str">
        <f t="shared" si="154"/>
        <v>-</v>
      </c>
      <c r="AZ325" s="86" t="str">
        <f t="shared" si="155"/>
        <v>-</v>
      </c>
      <c r="BA325" s="86" t="str">
        <f t="shared" si="156"/>
        <v>-</v>
      </c>
      <c r="BB325" s="86" t="str">
        <f t="shared" si="157"/>
        <v>-</v>
      </c>
      <c r="BC325" s="86" t="str">
        <f t="shared" si="158"/>
        <v>-</v>
      </c>
      <c r="BD325" s="86" t="str">
        <f t="shared" si="159"/>
        <v>-</v>
      </c>
      <c r="BE325" s="86" t="str">
        <f t="shared" si="160"/>
        <v>-</v>
      </c>
      <c r="BF325" s="86" t="str">
        <f t="shared" si="161"/>
        <v>-</v>
      </c>
    </row>
    <row r="326" spans="1:58" x14ac:dyDescent="0.2">
      <c r="A326" s="19" t="s">
        <v>1144</v>
      </c>
      <c r="B326" s="19" t="s">
        <v>76</v>
      </c>
      <c r="C326" s="19">
        <v>8376358</v>
      </c>
      <c r="D326" s="81">
        <v>2</v>
      </c>
      <c r="E326" s="19" t="s">
        <v>1180</v>
      </c>
      <c r="F326" s="19" t="s">
        <v>1523</v>
      </c>
      <c r="G326" s="19" t="s">
        <v>1524</v>
      </c>
      <c r="H326" s="19" t="s">
        <v>1033</v>
      </c>
      <c r="I326" s="19" t="s">
        <v>662</v>
      </c>
      <c r="J326" s="19">
        <v>60</v>
      </c>
      <c r="K326" s="19" t="s">
        <v>567</v>
      </c>
      <c r="L326" s="19" t="s">
        <v>497</v>
      </c>
      <c r="M326" s="19" t="s">
        <v>16</v>
      </c>
      <c r="N326" s="19">
        <v>45741</v>
      </c>
      <c r="O326" s="19">
        <v>7</v>
      </c>
      <c r="P326" s="81">
        <v>1</v>
      </c>
      <c r="Q326" s="19" t="s">
        <v>23</v>
      </c>
      <c r="R326" s="19" t="s">
        <v>11</v>
      </c>
      <c r="S326" s="19" t="s">
        <v>23</v>
      </c>
      <c r="T326" s="19">
        <v>7</v>
      </c>
      <c r="U326" s="19" t="s">
        <v>11</v>
      </c>
      <c r="V326" s="19" t="s">
        <v>11</v>
      </c>
      <c r="W326" s="19" t="s">
        <v>19</v>
      </c>
      <c r="X326" s="19">
        <v>321406</v>
      </c>
      <c r="Y326" s="19" t="s">
        <v>735</v>
      </c>
      <c r="Z326" s="19">
        <v>7</v>
      </c>
      <c r="AA326" s="19">
        <v>321406</v>
      </c>
      <c r="AB326" s="19">
        <v>321406</v>
      </c>
      <c r="AC326" s="178" t="str">
        <f>IF(OR(M326="13",M326="14",P326=8),"",IF(AND(OR(S326="AUTORIZADO", S326="PENDIENTE", S326="REDUCIDO", S326="AMPLIADO"),L326&lt;&gt;"HONORARIO" ), CONCATENATE(IF(H326="X","H",H326),"_",IF(OR(P326=5,P326=6),_xlfn.CONCAT(P326,"A"),P326),"_",VLOOKUP(T326,Datos!$B$2:$C$5,2,TRUE)),""))</f>
        <v>M_1_[4 a 10]</v>
      </c>
      <c r="AD326" s="178">
        <f t="shared" si="135"/>
        <v>642812</v>
      </c>
      <c r="AE326" s="82" t="str">
        <f t="shared" si="136"/>
        <v>-</v>
      </c>
      <c r="AF326" s="83" t="str">
        <f t="shared" si="137"/>
        <v>070601</v>
      </c>
      <c r="AG326" s="84"/>
      <c r="AH326" s="85" t="str">
        <f t="shared" si="138"/>
        <v>Corporación de Fomento de la Producción</v>
      </c>
      <c r="AI326" s="82" t="str">
        <f t="shared" si="139"/>
        <v>-</v>
      </c>
      <c r="AJ326" s="82">
        <f t="shared" si="140"/>
        <v>2</v>
      </c>
      <c r="AK326" s="82" t="str">
        <f t="shared" si="141"/>
        <v>-</v>
      </c>
      <c r="AL326" s="82" t="str">
        <f t="shared" si="142"/>
        <v>Identifica este registro como MUJER</v>
      </c>
      <c r="AM326" s="82" t="str">
        <f t="shared" si="143"/>
        <v>-</v>
      </c>
      <c r="AN326" s="82" t="str">
        <f t="shared" si="144"/>
        <v>-</v>
      </c>
      <c r="AO326" s="82" t="str">
        <f t="shared" si="145"/>
        <v>-</v>
      </c>
      <c r="AP326" s="57" t="str">
        <f t="shared" si="146"/>
        <v>-</v>
      </c>
      <c r="AQ326" s="86" t="str">
        <f t="shared" si="147"/>
        <v>-</v>
      </c>
      <c r="AR326" s="86" t="str">
        <f>IF(N326="","PRIMER_DIA en blanco",
IF(AND(M326="01",N326&gt;=L_Conversion!$C$118,N326&lt;=L_Conversion!$D$118),"-",
IF(AND(M326="02",N326&gt;=L_Conversion!$C$119,N326&lt;=L_Conversion!$D$119),"-",
IF(AND(M326="03",N326&gt;=L_Conversion!$C$120,N326&lt;=L_Conversion!$D$120),"-",
IF(AND(M326="04",N326&gt;=L_Conversion!$C$121,N326&lt;=L_Conversion!$D$121),"-",
IF(AND(M326="05",N326&gt;=L_Conversion!$C$122,N326&lt;=L_Conversion!$D$122),"-",
IF(AND(M326="06",N326&gt;=L_Conversion!$C$123,N326&lt;=L_Conversion!$D$123),"-",
IF(AND(M326="07",N326&gt;=L_Conversion!$C$124,N326&lt;=L_Conversion!$D$124),"-",
IF(AND(M326="08",N326&gt;=L_Conversion!$C$125,N326&lt;=L_Conversion!$D$125),"-",
IF(AND(M326="09",N326&gt;=L_Conversion!$C$126,N326&lt;=L_Conversion!$D$126),"-",
IF(AND(M326="10",N326&gt;=L_Conversion!$C$127,N326&lt;=L_Conversion!$D$127),"-",
IF(AND(M326="11",N326&gt;=L_Conversion!$C$128,N326&lt;=L_Conversion!$D$128),"-",
IF(AND(M326="12",N326&gt;=L_Conversion!$C$129,N326&lt;=L_Conversion!$D$129),"-",
IF(AND(M326="13",N326&gt;=L_Conversion!$C$116,N326&lt;=L_Conversion!$D$116),"-",
IF(AND(M326="14",N326&gt;=L_Conversion!$C$117,N326&lt;=L_Conversion!$D$117),"-",
"PRIMER_DIA fuera de rango")))))))))))))))</f>
        <v>-</v>
      </c>
      <c r="AS326" s="86" t="str">
        <f t="shared" si="148"/>
        <v>-</v>
      </c>
      <c r="AT326" s="86" t="str">
        <f t="shared" si="149"/>
        <v>-</v>
      </c>
      <c r="AU326" s="86" t="str">
        <f t="shared" si="150"/>
        <v>-</v>
      </c>
      <c r="AV326" s="86" t="str">
        <f t="shared" si="151"/>
        <v>-</v>
      </c>
      <c r="AW326" s="86" t="str">
        <f t="shared" si="152"/>
        <v>-</v>
      </c>
      <c r="AX326" s="86" t="str">
        <f t="shared" si="153"/>
        <v>-</v>
      </c>
      <c r="AY326" s="86" t="str">
        <f t="shared" si="154"/>
        <v>-</v>
      </c>
      <c r="AZ326" s="86" t="str">
        <f t="shared" si="155"/>
        <v>-</v>
      </c>
      <c r="BA326" s="86" t="str">
        <f t="shared" si="156"/>
        <v>-</v>
      </c>
      <c r="BB326" s="86" t="str">
        <f t="shared" si="157"/>
        <v>-</v>
      </c>
      <c r="BC326" s="86" t="str">
        <f t="shared" si="158"/>
        <v>-</v>
      </c>
      <c r="BD326" s="86" t="str">
        <f t="shared" si="159"/>
        <v>-</v>
      </c>
      <c r="BE326" s="86" t="str">
        <f t="shared" si="160"/>
        <v>-</v>
      </c>
      <c r="BF326" s="86" t="str">
        <f t="shared" si="161"/>
        <v>-</v>
      </c>
    </row>
    <row r="327" spans="1:58" x14ac:dyDescent="0.2">
      <c r="A327" s="19" t="s">
        <v>1144</v>
      </c>
      <c r="B327" s="19" t="s">
        <v>76</v>
      </c>
      <c r="C327" s="19">
        <v>9117458</v>
      </c>
      <c r="D327" s="81">
        <v>8</v>
      </c>
      <c r="E327" s="19" t="s">
        <v>1353</v>
      </c>
      <c r="F327" s="19" t="s">
        <v>1655</v>
      </c>
      <c r="G327" s="19" t="s">
        <v>1656</v>
      </c>
      <c r="H327" s="19" t="s">
        <v>663</v>
      </c>
      <c r="I327" s="19" t="s">
        <v>662</v>
      </c>
      <c r="J327" s="19">
        <v>60</v>
      </c>
      <c r="K327" s="19" t="s">
        <v>569</v>
      </c>
      <c r="L327" s="19" t="s">
        <v>497</v>
      </c>
      <c r="M327" s="19" t="s">
        <v>16</v>
      </c>
      <c r="N327" s="19">
        <v>45741</v>
      </c>
      <c r="O327" s="19">
        <v>4</v>
      </c>
      <c r="P327" s="81">
        <v>1</v>
      </c>
      <c r="Q327" s="19" t="s">
        <v>23</v>
      </c>
      <c r="R327" s="19" t="s">
        <v>11</v>
      </c>
      <c r="S327" s="19" t="s">
        <v>23</v>
      </c>
      <c r="T327" s="19">
        <v>4</v>
      </c>
      <c r="U327" s="19" t="s">
        <v>11</v>
      </c>
      <c r="V327" s="19" t="s">
        <v>11</v>
      </c>
      <c r="W327" s="19" t="s">
        <v>19</v>
      </c>
      <c r="X327" s="19">
        <v>57048</v>
      </c>
      <c r="Y327" s="19" t="s">
        <v>735</v>
      </c>
      <c r="Z327" s="19">
        <v>4</v>
      </c>
      <c r="AA327" s="19">
        <v>57048</v>
      </c>
      <c r="AB327" s="19">
        <v>57048</v>
      </c>
      <c r="AC327" s="178" t="str">
        <f>IF(OR(M327="13",M327="14",P327=8),"",IF(AND(OR(S327="AUTORIZADO", S327="PENDIENTE", S327="REDUCIDO", S327="AMPLIADO"),L327&lt;&gt;"HONORARIO" ), CONCATENATE(IF(H327="X","H",H327),"_",IF(OR(P327=5,P327=6),_xlfn.CONCAT(P327,"A"),P327),"_",VLOOKUP(T327,Datos!$B$2:$C$5,2,TRUE)),""))</f>
        <v>H_1_[4 a 10]</v>
      </c>
      <c r="AD327" s="178">
        <f t="shared" si="135"/>
        <v>114096</v>
      </c>
      <c r="AE327" s="82" t="str">
        <f t="shared" si="136"/>
        <v>-</v>
      </c>
      <c r="AF327" s="83" t="str">
        <f t="shared" si="137"/>
        <v>070601</v>
      </c>
      <c r="AG327" s="84"/>
      <c r="AH327" s="85" t="str">
        <f t="shared" si="138"/>
        <v>Corporación de Fomento de la Producción</v>
      </c>
      <c r="AI327" s="82" t="str">
        <f t="shared" si="139"/>
        <v>-</v>
      </c>
      <c r="AJ327" s="82">
        <f t="shared" si="140"/>
        <v>8</v>
      </c>
      <c r="AK327" s="82" t="str">
        <f t="shared" si="141"/>
        <v>-</v>
      </c>
      <c r="AL327" s="82" t="str">
        <f t="shared" si="142"/>
        <v>Identifica este registro como HOMBRE</v>
      </c>
      <c r="AM327" s="82" t="str">
        <f t="shared" si="143"/>
        <v>-</v>
      </c>
      <c r="AN327" s="82" t="str">
        <f t="shared" si="144"/>
        <v>-</v>
      </c>
      <c r="AO327" s="82" t="str">
        <f t="shared" si="145"/>
        <v>-</v>
      </c>
      <c r="AP327" s="57" t="str">
        <f t="shared" si="146"/>
        <v>-</v>
      </c>
      <c r="AQ327" s="86" t="str">
        <f t="shared" si="147"/>
        <v>-</v>
      </c>
      <c r="AR327" s="86" t="str">
        <f>IF(N327="","PRIMER_DIA en blanco",
IF(AND(M327="01",N327&gt;=L_Conversion!$C$118,N327&lt;=L_Conversion!$D$118),"-",
IF(AND(M327="02",N327&gt;=L_Conversion!$C$119,N327&lt;=L_Conversion!$D$119),"-",
IF(AND(M327="03",N327&gt;=L_Conversion!$C$120,N327&lt;=L_Conversion!$D$120),"-",
IF(AND(M327="04",N327&gt;=L_Conversion!$C$121,N327&lt;=L_Conversion!$D$121),"-",
IF(AND(M327="05",N327&gt;=L_Conversion!$C$122,N327&lt;=L_Conversion!$D$122),"-",
IF(AND(M327="06",N327&gt;=L_Conversion!$C$123,N327&lt;=L_Conversion!$D$123),"-",
IF(AND(M327="07",N327&gt;=L_Conversion!$C$124,N327&lt;=L_Conversion!$D$124),"-",
IF(AND(M327="08",N327&gt;=L_Conversion!$C$125,N327&lt;=L_Conversion!$D$125),"-",
IF(AND(M327="09",N327&gt;=L_Conversion!$C$126,N327&lt;=L_Conversion!$D$126),"-",
IF(AND(M327="10",N327&gt;=L_Conversion!$C$127,N327&lt;=L_Conversion!$D$127),"-",
IF(AND(M327="11",N327&gt;=L_Conversion!$C$128,N327&lt;=L_Conversion!$D$128),"-",
IF(AND(M327="12",N327&gt;=L_Conversion!$C$129,N327&lt;=L_Conversion!$D$129),"-",
IF(AND(M327="13",N327&gt;=L_Conversion!$C$116,N327&lt;=L_Conversion!$D$116),"-",
IF(AND(M327="14",N327&gt;=L_Conversion!$C$117,N327&lt;=L_Conversion!$D$117),"-",
"PRIMER_DIA fuera de rango")))))))))))))))</f>
        <v>-</v>
      </c>
      <c r="AS327" s="86" t="str">
        <f t="shared" si="148"/>
        <v>-</v>
      </c>
      <c r="AT327" s="86" t="str">
        <f t="shared" si="149"/>
        <v>-</v>
      </c>
      <c r="AU327" s="86" t="str">
        <f t="shared" si="150"/>
        <v>-</v>
      </c>
      <c r="AV327" s="86" t="str">
        <f t="shared" si="151"/>
        <v>-</v>
      </c>
      <c r="AW327" s="86" t="str">
        <f t="shared" si="152"/>
        <v>-</v>
      </c>
      <c r="AX327" s="86" t="str">
        <f t="shared" si="153"/>
        <v>-</v>
      </c>
      <c r="AY327" s="86" t="str">
        <f t="shared" si="154"/>
        <v>-</v>
      </c>
      <c r="AZ327" s="86" t="str">
        <f t="shared" si="155"/>
        <v>-</v>
      </c>
      <c r="BA327" s="86" t="str">
        <f t="shared" si="156"/>
        <v>-</v>
      </c>
      <c r="BB327" s="86" t="str">
        <f t="shared" si="157"/>
        <v>-</v>
      </c>
      <c r="BC327" s="86" t="str">
        <f t="shared" si="158"/>
        <v>-</v>
      </c>
      <c r="BD327" s="86" t="str">
        <f t="shared" si="159"/>
        <v>-</v>
      </c>
      <c r="BE327" s="86" t="str">
        <f t="shared" si="160"/>
        <v>-</v>
      </c>
      <c r="BF327" s="86" t="str">
        <f t="shared" si="161"/>
        <v>-</v>
      </c>
    </row>
    <row r="328" spans="1:58" x14ac:dyDescent="0.2">
      <c r="A328" s="19" t="s">
        <v>1144</v>
      </c>
      <c r="B328" s="19" t="s">
        <v>76</v>
      </c>
      <c r="C328" s="19">
        <v>13231766</v>
      </c>
      <c r="D328" s="81">
        <v>6</v>
      </c>
      <c r="E328" s="19" t="s">
        <v>1657</v>
      </c>
      <c r="F328" s="19" t="s">
        <v>1658</v>
      </c>
      <c r="G328" s="19" t="s">
        <v>1659</v>
      </c>
      <c r="H328" s="19" t="s">
        <v>663</v>
      </c>
      <c r="I328" s="19" t="s">
        <v>662</v>
      </c>
      <c r="J328" s="19">
        <v>80</v>
      </c>
      <c r="K328" s="19" t="s">
        <v>563</v>
      </c>
      <c r="L328" s="19" t="s">
        <v>502</v>
      </c>
      <c r="M328" s="19" t="s">
        <v>16</v>
      </c>
      <c r="N328" s="19">
        <v>45742</v>
      </c>
      <c r="O328" s="19">
        <v>3</v>
      </c>
      <c r="P328" s="81">
        <v>1</v>
      </c>
      <c r="Q328" s="19" t="s">
        <v>23</v>
      </c>
      <c r="R328" s="19" t="s">
        <v>11</v>
      </c>
      <c r="S328" s="19" t="s">
        <v>23</v>
      </c>
      <c r="T328" s="19">
        <v>3</v>
      </c>
      <c r="U328" s="19" t="s">
        <v>11</v>
      </c>
      <c r="V328" s="19" t="s">
        <v>19</v>
      </c>
      <c r="W328" s="19" t="s">
        <v>19</v>
      </c>
      <c r="X328" s="19">
        <v>58571</v>
      </c>
      <c r="Y328" s="19" t="s">
        <v>735</v>
      </c>
      <c r="Z328" s="19">
        <v>3</v>
      </c>
      <c r="AA328" s="19">
        <v>58571</v>
      </c>
      <c r="AB328" s="19">
        <v>58571</v>
      </c>
      <c r="AC328" s="178" t="str">
        <f>IF(OR(M328="13",M328="14",P328=8),"",IF(AND(OR(S328="AUTORIZADO", S328="PENDIENTE", S328="REDUCIDO", S328="AMPLIADO"),L328&lt;&gt;"HONORARIO" ), CONCATENATE(IF(H328="X","H",H328),"_",IF(OR(P328=5,P328=6),_xlfn.CONCAT(P328,"A"),P328),"_",VLOOKUP(T328,Datos!$B$2:$C$5,2,TRUE)),""))</f>
        <v>H_1_[hasta 3]</v>
      </c>
      <c r="AD328" s="178">
        <f t="shared" si="135"/>
        <v>117142</v>
      </c>
      <c r="AE328" s="82" t="str">
        <f t="shared" si="136"/>
        <v>-</v>
      </c>
      <c r="AF328" s="83" t="str">
        <f t="shared" si="137"/>
        <v>070601</v>
      </c>
      <c r="AG328" s="84"/>
      <c r="AH328" s="85" t="str">
        <f t="shared" si="138"/>
        <v>Corporación de Fomento de la Producción</v>
      </c>
      <c r="AI328" s="82" t="str">
        <f t="shared" si="139"/>
        <v>-</v>
      </c>
      <c r="AJ328" s="82">
        <f t="shared" si="140"/>
        <v>6</v>
      </c>
      <c r="AK328" s="82" t="str">
        <f t="shared" si="141"/>
        <v>-</v>
      </c>
      <c r="AL328" s="82" t="str">
        <f t="shared" si="142"/>
        <v>Identifica este registro como HOMBRE</v>
      </c>
      <c r="AM328" s="82" t="str">
        <f t="shared" si="143"/>
        <v>-</v>
      </c>
      <c r="AN328" s="82" t="str">
        <f t="shared" si="144"/>
        <v>-</v>
      </c>
      <c r="AO328" s="82" t="str">
        <f t="shared" si="145"/>
        <v>-</v>
      </c>
      <c r="AP328" s="57" t="str">
        <f t="shared" si="146"/>
        <v>-</v>
      </c>
      <c r="AQ328" s="86" t="str">
        <f t="shared" si="147"/>
        <v>-</v>
      </c>
      <c r="AR328" s="86" t="str">
        <f>IF(N328="","PRIMER_DIA en blanco",
IF(AND(M328="01",N328&gt;=L_Conversion!$C$118,N328&lt;=L_Conversion!$D$118),"-",
IF(AND(M328="02",N328&gt;=L_Conversion!$C$119,N328&lt;=L_Conversion!$D$119),"-",
IF(AND(M328="03",N328&gt;=L_Conversion!$C$120,N328&lt;=L_Conversion!$D$120),"-",
IF(AND(M328="04",N328&gt;=L_Conversion!$C$121,N328&lt;=L_Conversion!$D$121),"-",
IF(AND(M328="05",N328&gt;=L_Conversion!$C$122,N328&lt;=L_Conversion!$D$122),"-",
IF(AND(M328="06",N328&gt;=L_Conversion!$C$123,N328&lt;=L_Conversion!$D$123),"-",
IF(AND(M328="07",N328&gt;=L_Conversion!$C$124,N328&lt;=L_Conversion!$D$124),"-",
IF(AND(M328="08",N328&gt;=L_Conversion!$C$125,N328&lt;=L_Conversion!$D$125),"-",
IF(AND(M328="09",N328&gt;=L_Conversion!$C$126,N328&lt;=L_Conversion!$D$126),"-",
IF(AND(M328="10",N328&gt;=L_Conversion!$C$127,N328&lt;=L_Conversion!$D$127),"-",
IF(AND(M328="11",N328&gt;=L_Conversion!$C$128,N328&lt;=L_Conversion!$D$128),"-",
IF(AND(M328="12",N328&gt;=L_Conversion!$C$129,N328&lt;=L_Conversion!$D$129),"-",
IF(AND(M328="13",N328&gt;=L_Conversion!$C$116,N328&lt;=L_Conversion!$D$116),"-",
IF(AND(M328="14",N328&gt;=L_Conversion!$C$117,N328&lt;=L_Conversion!$D$117),"-",
"PRIMER_DIA fuera de rango")))))))))))))))</f>
        <v>-</v>
      </c>
      <c r="AS328" s="86" t="str">
        <f t="shared" si="148"/>
        <v>-</v>
      </c>
      <c r="AT328" s="86" t="str">
        <f t="shared" si="149"/>
        <v>-</v>
      </c>
      <c r="AU328" s="86" t="str">
        <f t="shared" si="150"/>
        <v>-</v>
      </c>
      <c r="AV328" s="86" t="str">
        <f t="shared" si="151"/>
        <v>-</v>
      </c>
      <c r="AW328" s="86" t="str">
        <f t="shared" si="152"/>
        <v>-</v>
      </c>
      <c r="AX328" s="86" t="str">
        <f t="shared" si="153"/>
        <v>-</v>
      </c>
      <c r="AY328" s="86" t="str">
        <f t="shared" si="154"/>
        <v>-</v>
      </c>
      <c r="AZ328" s="86" t="str">
        <f t="shared" si="155"/>
        <v>-</v>
      </c>
      <c r="BA328" s="86" t="str">
        <f t="shared" si="156"/>
        <v>-</v>
      </c>
      <c r="BB328" s="86" t="str">
        <f t="shared" si="157"/>
        <v>-</v>
      </c>
      <c r="BC328" s="86" t="str">
        <f t="shared" si="158"/>
        <v>-</v>
      </c>
      <c r="BD328" s="86" t="str">
        <f t="shared" si="159"/>
        <v>-</v>
      </c>
      <c r="BE328" s="86" t="str">
        <f t="shared" si="160"/>
        <v>-</v>
      </c>
      <c r="BF328" s="86" t="str">
        <f t="shared" si="161"/>
        <v>-</v>
      </c>
    </row>
    <row r="329" spans="1:58" x14ac:dyDescent="0.2">
      <c r="A329" s="19" t="s">
        <v>1144</v>
      </c>
      <c r="B329" s="19" t="s">
        <v>76</v>
      </c>
      <c r="C329" s="19">
        <v>6903434</v>
      </c>
      <c r="D329" s="81">
        <v>9</v>
      </c>
      <c r="E329" s="19" t="s">
        <v>1660</v>
      </c>
      <c r="F329" s="19" t="s">
        <v>1304</v>
      </c>
      <c r="G329" s="19" t="s">
        <v>1159</v>
      </c>
      <c r="H329" s="19" t="s">
        <v>1033</v>
      </c>
      <c r="I329" s="19" t="s">
        <v>662</v>
      </c>
      <c r="J329" s="19">
        <v>80</v>
      </c>
      <c r="K329" s="19" t="s">
        <v>563</v>
      </c>
      <c r="L329" s="19" t="s">
        <v>502</v>
      </c>
      <c r="M329" s="19" t="s">
        <v>16</v>
      </c>
      <c r="N329" s="19">
        <v>45742</v>
      </c>
      <c r="O329" s="19">
        <v>3</v>
      </c>
      <c r="P329" s="81">
        <v>1</v>
      </c>
      <c r="Q329" s="19" t="s">
        <v>23</v>
      </c>
      <c r="R329" s="19" t="s">
        <v>11</v>
      </c>
      <c r="S329" s="19" t="s">
        <v>23</v>
      </c>
      <c r="T329" s="19">
        <v>3</v>
      </c>
      <c r="U329" s="19" t="s">
        <v>11</v>
      </c>
      <c r="V329" s="19" t="s">
        <v>19</v>
      </c>
      <c r="W329" s="19" t="s">
        <v>19</v>
      </c>
      <c r="X329" s="19">
        <v>17553</v>
      </c>
      <c r="Y329" s="19" t="s">
        <v>735</v>
      </c>
      <c r="Z329" s="19">
        <v>3</v>
      </c>
      <c r="AA329" s="19">
        <v>17553</v>
      </c>
      <c r="AB329" s="19">
        <v>17553</v>
      </c>
      <c r="AC329" s="178" t="str">
        <f>IF(OR(M329="13",M329="14",P329=8),"",IF(AND(OR(S329="AUTORIZADO", S329="PENDIENTE", S329="REDUCIDO", S329="AMPLIADO"),L329&lt;&gt;"HONORARIO" ), CONCATENATE(IF(H329="X","H",H329),"_",IF(OR(P329=5,P329=6),_xlfn.CONCAT(P329,"A"),P329),"_",VLOOKUP(T329,Datos!$B$2:$C$5,2,TRUE)),""))</f>
        <v>M_1_[hasta 3]</v>
      </c>
      <c r="AD329" s="178">
        <f t="shared" si="135"/>
        <v>35106</v>
      </c>
      <c r="AE329" s="82" t="str">
        <f t="shared" si="136"/>
        <v>-</v>
      </c>
      <c r="AF329" s="83" t="str">
        <f t="shared" si="137"/>
        <v>070601</v>
      </c>
      <c r="AG329" s="84"/>
      <c r="AH329" s="85" t="str">
        <f t="shared" si="138"/>
        <v>Corporación de Fomento de la Producción</v>
      </c>
      <c r="AI329" s="82" t="str">
        <f t="shared" si="139"/>
        <v>-</v>
      </c>
      <c r="AJ329" s="82">
        <f t="shared" si="140"/>
        <v>9</v>
      </c>
      <c r="AK329" s="82" t="str">
        <f t="shared" si="141"/>
        <v>-</v>
      </c>
      <c r="AL329" s="82" t="str">
        <f t="shared" si="142"/>
        <v>Identifica este registro como MUJER</v>
      </c>
      <c r="AM329" s="82" t="str">
        <f t="shared" si="143"/>
        <v>-</v>
      </c>
      <c r="AN329" s="82" t="str">
        <f t="shared" si="144"/>
        <v>-</v>
      </c>
      <c r="AO329" s="82" t="str">
        <f t="shared" si="145"/>
        <v>-</v>
      </c>
      <c r="AP329" s="57" t="str">
        <f t="shared" si="146"/>
        <v>-</v>
      </c>
      <c r="AQ329" s="86" t="str">
        <f t="shared" si="147"/>
        <v>-</v>
      </c>
      <c r="AR329" s="86" t="str">
        <f>IF(N329="","PRIMER_DIA en blanco",
IF(AND(M329="01",N329&gt;=L_Conversion!$C$118,N329&lt;=L_Conversion!$D$118),"-",
IF(AND(M329="02",N329&gt;=L_Conversion!$C$119,N329&lt;=L_Conversion!$D$119),"-",
IF(AND(M329="03",N329&gt;=L_Conversion!$C$120,N329&lt;=L_Conversion!$D$120),"-",
IF(AND(M329="04",N329&gt;=L_Conversion!$C$121,N329&lt;=L_Conversion!$D$121),"-",
IF(AND(M329="05",N329&gt;=L_Conversion!$C$122,N329&lt;=L_Conversion!$D$122),"-",
IF(AND(M329="06",N329&gt;=L_Conversion!$C$123,N329&lt;=L_Conversion!$D$123),"-",
IF(AND(M329="07",N329&gt;=L_Conversion!$C$124,N329&lt;=L_Conversion!$D$124),"-",
IF(AND(M329="08",N329&gt;=L_Conversion!$C$125,N329&lt;=L_Conversion!$D$125),"-",
IF(AND(M329="09",N329&gt;=L_Conversion!$C$126,N329&lt;=L_Conversion!$D$126),"-",
IF(AND(M329="10",N329&gt;=L_Conversion!$C$127,N329&lt;=L_Conversion!$D$127),"-",
IF(AND(M329="11",N329&gt;=L_Conversion!$C$128,N329&lt;=L_Conversion!$D$128),"-",
IF(AND(M329="12",N329&gt;=L_Conversion!$C$129,N329&lt;=L_Conversion!$D$129),"-",
IF(AND(M329="13",N329&gt;=L_Conversion!$C$116,N329&lt;=L_Conversion!$D$116),"-",
IF(AND(M329="14",N329&gt;=L_Conversion!$C$117,N329&lt;=L_Conversion!$D$117),"-",
"PRIMER_DIA fuera de rango")))))))))))))))</f>
        <v>-</v>
      </c>
      <c r="AS329" s="86" t="str">
        <f t="shared" si="148"/>
        <v>-</v>
      </c>
      <c r="AT329" s="86" t="str">
        <f t="shared" si="149"/>
        <v>-</v>
      </c>
      <c r="AU329" s="86" t="str">
        <f t="shared" si="150"/>
        <v>-</v>
      </c>
      <c r="AV329" s="86" t="str">
        <f t="shared" si="151"/>
        <v>-</v>
      </c>
      <c r="AW329" s="86" t="str">
        <f t="shared" si="152"/>
        <v>-</v>
      </c>
      <c r="AX329" s="86" t="str">
        <f t="shared" si="153"/>
        <v>-</v>
      </c>
      <c r="AY329" s="86" t="str">
        <f t="shared" si="154"/>
        <v>-</v>
      </c>
      <c r="AZ329" s="86" t="str">
        <f t="shared" si="155"/>
        <v>-</v>
      </c>
      <c r="BA329" s="86" t="str">
        <f t="shared" si="156"/>
        <v>-</v>
      </c>
      <c r="BB329" s="86" t="str">
        <f t="shared" si="157"/>
        <v>-</v>
      </c>
      <c r="BC329" s="86" t="str">
        <f t="shared" si="158"/>
        <v>-</v>
      </c>
      <c r="BD329" s="86" t="str">
        <f t="shared" si="159"/>
        <v>-</v>
      </c>
      <c r="BE329" s="86" t="str">
        <f t="shared" si="160"/>
        <v>-</v>
      </c>
      <c r="BF329" s="86" t="str">
        <f t="shared" si="161"/>
        <v>-</v>
      </c>
    </row>
    <row r="330" spans="1:58" x14ac:dyDescent="0.2">
      <c r="A330" s="19" t="s">
        <v>1144</v>
      </c>
      <c r="B330" s="19" t="s">
        <v>76</v>
      </c>
      <c r="C330" s="19">
        <v>16340776</v>
      </c>
      <c r="D330" s="81">
        <v>0</v>
      </c>
      <c r="E330" s="19" t="s">
        <v>1180</v>
      </c>
      <c r="F330" s="19" t="s">
        <v>1176</v>
      </c>
      <c r="G330" s="19" t="s">
        <v>1661</v>
      </c>
      <c r="H330" s="19" t="s">
        <v>1033</v>
      </c>
      <c r="I330" s="19" t="s">
        <v>662</v>
      </c>
      <c r="J330" s="19">
        <v>80</v>
      </c>
      <c r="K330" s="19" t="s">
        <v>567</v>
      </c>
      <c r="L330" s="19" t="s">
        <v>502</v>
      </c>
      <c r="M330" s="19" t="s">
        <v>16</v>
      </c>
      <c r="N330" s="19">
        <v>45742</v>
      </c>
      <c r="O330" s="19">
        <v>3</v>
      </c>
      <c r="P330" s="81">
        <v>1</v>
      </c>
      <c r="Q330" s="19" t="s">
        <v>23</v>
      </c>
      <c r="R330" s="19" t="s">
        <v>11</v>
      </c>
      <c r="S330" s="19" t="s">
        <v>23</v>
      </c>
      <c r="T330" s="19">
        <v>3</v>
      </c>
      <c r="U330" s="19" t="s">
        <v>11</v>
      </c>
      <c r="V330" s="19" t="s">
        <v>19</v>
      </c>
      <c r="W330" s="19" t="s">
        <v>19</v>
      </c>
      <c r="X330" s="19">
        <v>30383</v>
      </c>
      <c r="Y330" s="19" t="s">
        <v>735</v>
      </c>
      <c r="Z330" s="19">
        <v>3</v>
      </c>
      <c r="AA330" s="19">
        <v>30383</v>
      </c>
      <c r="AB330" s="19">
        <v>30383</v>
      </c>
      <c r="AC330" s="178" t="str">
        <f>IF(OR(M330="13",M330="14",P330=8),"",IF(AND(OR(S330="AUTORIZADO", S330="PENDIENTE", S330="REDUCIDO", S330="AMPLIADO"),L330&lt;&gt;"HONORARIO" ), CONCATENATE(IF(H330="X","H",H330),"_",IF(OR(P330=5,P330=6),_xlfn.CONCAT(P330,"A"),P330),"_",VLOOKUP(T330,Datos!$B$2:$C$5,2,TRUE)),""))</f>
        <v>M_1_[hasta 3]</v>
      </c>
      <c r="AD330" s="178">
        <f t="shared" si="135"/>
        <v>60766</v>
      </c>
      <c r="AE330" s="82" t="str">
        <f t="shared" si="136"/>
        <v>-</v>
      </c>
      <c r="AF330" s="83" t="str">
        <f t="shared" si="137"/>
        <v>070601</v>
      </c>
      <c r="AG330" s="84"/>
      <c r="AH330" s="85" t="str">
        <f t="shared" si="138"/>
        <v>Corporación de Fomento de la Producción</v>
      </c>
      <c r="AI330" s="82" t="str">
        <f t="shared" si="139"/>
        <v>-</v>
      </c>
      <c r="AJ330" s="82">
        <f t="shared" si="140"/>
        <v>0</v>
      </c>
      <c r="AK330" s="82" t="str">
        <f t="shared" si="141"/>
        <v>-</v>
      </c>
      <c r="AL330" s="82" t="str">
        <f t="shared" si="142"/>
        <v>Identifica este registro como MUJER</v>
      </c>
      <c r="AM330" s="82" t="str">
        <f t="shared" si="143"/>
        <v>-</v>
      </c>
      <c r="AN330" s="82" t="str">
        <f t="shared" si="144"/>
        <v>-</v>
      </c>
      <c r="AO330" s="82" t="str">
        <f t="shared" si="145"/>
        <v>-</v>
      </c>
      <c r="AP330" s="57" t="str">
        <f t="shared" si="146"/>
        <v>-</v>
      </c>
      <c r="AQ330" s="86" t="str">
        <f t="shared" si="147"/>
        <v>-</v>
      </c>
      <c r="AR330" s="86" t="str">
        <f>IF(N330="","PRIMER_DIA en blanco",
IF(AND(M330="01",N330&gt;=L_Conversion!$C$118,N330&lt;=L_Conversion!$D$118),"-",
IF(AND(M330="02",N330&gt;=L_Conversion!$C$119,N330&lt;=L_Conversion!$D$119),"-",
IF(AND(M330="03",N330&gt;=L_Conversion!$C$120,N330&lt;=L_Conversion!$D$120),"-",
IF(AND(M330="04",N330&gt;=L_Conversion!$C$121,N330&lt;=L_Conversion!$D$121),"-",
IF(AND(M330="05",N330&gt;=L_Conversion!$C$122,N330&lt;=L_Conversion!$D$122),"-",
IF(AND(M330="06",N330&gt;=L_Conversion!$C$123,N330&lt;=L_Conversion!$D$123),"-",
IF(AND(M330="07",N330&gt;=L_Conversion!$C$124,N330&lt;=L_Conversion!$D$124),"-",
IF(AND(M330="08",N330&gt;=L_Conversion!$C$125,N330&lt;=L_Conversion!$D$125),"-",
IF(AND(M330="09",N330&gt;=L_Conversion!$C$126,N330&lt;=L_Conversion!$D$126),"-",
IF(AND(M330="10",N330&gt;=L_Conversion!$C$127,N330&lt;=L_Conversion!$D$127),"-",
IF(AND(M330="11",N330&gt;=L_Conversion!$C$128,N330&lt;=L_Conversion!$D$128),"-",
IF(AND(M330="12",N330&gt;=L_Conversion!$C$129,N330&lt;=L_Conversion!$D$129),"-",
IF(AND(M330="13",N330&gt;=L_Conversion!$C$116,N330&lt;=L_Conversion!$D$116),"-",
IF(AND(M330="14",N330&gt;=L_Conversion!$C$117,N330&lt;=L_Conversion!$D$117),"-",
"PRIMER_DIA fuera de rango")))))))))))))))</f>
        <v>-</v>
      </c>
      <c r="AS330" s="86" t="str">
        <f t="shared" si="148"/>
        <v>-</v>
      </c>
      <c r="AT330" s="86" t="str">
        <f t="shared" si="149"/>
        <v>-</v>
      </c>
      <c r="AU330" s="86" t="str">
        <f t="shared" si="150"/>
        <v>-</v>
      </c>
      <c r="AV330" s="86" t="str">
        <f t="shared" si="151"/>
        <v>-</v>
      </c>
      <c r="AW330" s="86" t="str">
        <f t="shared" si="152"/>
        <v>-</v>
      </c>
      <c r="AX330" s="86" t="str">
        <f t="shared" si="153"/>
        <v>-</v>
      </c>
      <c r="AY330" s="86" t="str">
        <f t="shared" si="154"/>
        <v>-</v>
      </c>
      <c r="AZ330" s="86" t="str">
        <f t="shared" si="155"/>
        <v>-</v>
      </c>
      <c r="BA330" s="86" t="str">
        <f t="shared" si="156"/>
        <v>-</v>
      </c>
      <c r="BB330" s="86" t="str">
        <f t="shared" si="157"/>
        <v>-</v>
      </c>
      <c r="BC330" s="86" t="str">
        <f t="shared" si="158"/>
        <v>-</v>
      </c>
      <c r="BD330" s="86" t="str">
        <f t="shared" si="159"/>
        <v>-</v>
      </c>
      <c r="BE330" s="86" t="str">
        <f t="shared" si="160"/>
        <v>-</v>
      </c>
      <c r="BF330" s="86" t="str">
        <f t="shared" si="161"/>
        <v>-</v>
      </c>
    </row>
    <row r="331" spans="1:58" x14ac:dyDescent="0.2">
      <c r="A331" s="19" t="s">
        <v>1144</v>
      </c>
      <c r="B331" s="19" t="s">
        <v>76</v>
      </c>
      <c r="C331" s="19">
        <v>19111574</v>
      </c>
      <c r="D331" s="81">
        <v>0</v>
      </c>
      <c r="E331" s="19" t="s">
        <v>1662</v>
      </c>
      <c r="F331" s="19" t="s">
        <v>1345</v>
      </c>
      <c r="G331" s="19" t="s">
        <v>1663</v>
      </c>
      <c r="H331" s="19" t="s">
        <v>1033</v>
      </c>
      <c r="I331" s="19" t="s">
        <v>662</v>
      </c>
      <c r="J331" s="19">
        <v>80</v>
      </c>
      <c r="K331" s="19" t="s">
        <v>563</v>
      </c>
      <c r="L331" s="19" t="s">
        <v>502</v>
      </c>
      <c r="M331" s="19" t="s">
        <v>16</v>
      </c>
      <c r="N331" s="19">
        <v>45742</v>
      </c>
      <c r="O331" s="19">
        <v>1</v>
      </c>
      <c r="P331" s="81">
        <v>1</v>
      </c>
      <c r="Q331" s="19" t="s">
        <v>23</v>
      </c>
      <c r="R331" s="19" t="s">
        <v>11</v>
      </c>
      <c r="S331" s="19" t="s">
        <v>23</v>
      </c>
      <c r="T331" s="19">
        <v>1</v>
      </c>
      <c r="U331" s="19" t="s">
        <v>11</v>
      </c>
      <c r="V331" s="19" t="s">
        <v>19</v>
      </c>
      <c r="W331" s="19" t="s">
        <v>19</v>
      </c>
      <c r="X331" s="19">
        <v>18965</v>
      </c>
      <c r="Y331" s="19" t="s">
        <v>735</v>
      </c>
      <c r="Z331" s="19">
        <v>1</v>
      </c>
      <c r="AA331" s="19">
        <v>18965</v>
      </c>
      <c r="AB331" s="19">
        <v>18965</v>
      </c>
      <c r="AC331" s="178" t="str">
        <f>IF(OR(M331="13",M331="14",P331=8),"",IF(AND(OR(S331="AUTORIZADO", S331="PENDIENTE", S331="REDUCIDO", S331="AMPLIADO"),L331&lt;&gt;"HONORARIO" ), CONCATENATE(IF(H331="X","H",H331),"_",IF(OR(P331=5,P331=6),_xlfn.CONCAT(P331,"A"),P331),"_",VLOOKUP(T331,Datos!$B$2:$C$5,2,TRUE)),""))</f>
        <v>M_1_[hasta 3]</v>
      </c>
      <c r="AD331" s="178">
        <f t="shared" si="135"/>
        <v>37930</v>
      </c>
      <c r="AE331" s="82" t="str">
        <f t="shared" si="136"/>
        <v>-</v>
      </c>
      <c r="AF331" s="83" t="str">
        <f t="shared" si="137"/>
        <v>070601</v>
      </c>
      <c r="AG331" s="84"/>
      <c r="AH331" s="85" t="str">
        <f t="shared" si="138"/>
        <v>Corporación de Fomento de la Producción</v>
      </c>
      <c r="AI331" s="82" t="str">
        <f t="shared" si="139"/>
        <v>-</v>
      </c>
      <c r="AJ331" s="82">
        <f t="shared" si="140"/>
        <v>0</v>
      </c>
      <c r="AK331" s="82" t="str">
        <f t="shared" si="141"/>
        <v>-</v>
      </c>
      <c r="AL331" s="82" t="str">
        <f t="shared" si="142"/>
        <v>Identifica este registro como MUJER</v>
      </c>
      <c r="AM331" s="82" t="str">
        <f t="shared" si="143"/>
        <v>-</v>
      </c>
      <c r="AN331" s="82" t="str">
        <f t="shared" si="144"/>
        <v>-</v>
      </c>
      <c r="AO331" s="82" t="str">
        <f t="shared" si="145"/>
        <v>-</v>
      </c>
      <c r="AP331" s="57" t="str">
        <f t="shared" si="146"/>
        <v>-</v>
      </c>
      <c r="AQ331" s="86" t="str">
        <f t="shared" si="147"/>
        <v>-</v>
      </c>
      <c r="AR331" s="86" t="str">
        <f>IF(N331="","PRIMER_DIA en blanco",
IF(AND(M331="01",N331&gt;=L_Conversion!$C$118,N331&lt;=L_Conversion!$D$118),"-",
IF(AND(M331="02",N331&gt;=L_Conversion!$C$119,N331&lt;=L_Conversion!$D$119),"-",
IF(AND(M331="03",N331&gt;=L_Conversion!$C$120,N331&lt;=L_Conversion!$D$120),"-",
IF(AND(M331="04",N331&gt;=L_Conversion!$C$121,N331&lt;=L_Conversion!$D$121),"-",
IF(AND(M331="05",N331&gt;=L_Conversion!$C$122,N331&lt;=L_Conversion!$D$122),"-",
IF(AND(M331="06",N331&gt;=L_Conversion!$C$123,N331&lt;=L_Conversion!$D$123),"-",
IF(AND(M331="07",N331&gt;=L_Conversion!$C$124,N331&lt;=L_Conversion!$D$124),"-",
IF(AND(M331="08",N331&gt;=L_Conversion!$C$125,N331&lt;=L_Conversion!$D$125),"-",
IF(AND(M331="09",N331&gt;=L_Conversion!$C$126,N331&lt;=L_Conversion!$D$126),"-",
IF(AND(M331="10",N331&gt;=L_Conversion!$C$127,N331&lt;=L_Conversion!$D$127),"-",
IF(AND(M331="11",N331&gt;=L_Conversion!$C$128,N331&lt;=L_Conversion!$D$128),"-",
IF(AND(M331="12",N331&gt;=L_Conversion!$C$129,N331&lt;=L_Conversion!$D$129),"-",
IF(AND(M331="13",N331&gt;=L_Conversion!$C$116,N331&lt;=L_Conversion!$D$116),"-",
IF(AND(M331="14",N331&gt;=L_Conversion!$C$117,N331&lt;=L_Conversion!$D$117),"-",
"PRIMER_DIA fuera de rango")))))))))))))))</f>
        <v>-</v>
      </c>
      <c r="AS331" s="86" t="str">
        <f t="shared" si="148"/>
        <v>-</v>
      </c>
      <c r="AT331" s="86" t="str">
        <f t="shared" si="149"/>
        <v>-</v>
      </c>
      <c r="AU331" s="86" t="str">
        <f t="shared" si="150"/>
        <v>-</v>
      </c>
      <c r="AV331" s="86" t="str">
        <f t="shared" si="151"/>
        <v>-</v>
      </c>
      <c r="AW331" s="86" t="str">
        <f t="shared" si="152"/>
        <v>-</v>
      </c>
      <c r="AX331" s="86" t="str">
        <f t="shared" si="153"/>
        <v>-</v>
      </c>
      <c r="AY331" s="86" t="str">
        <f t="shared" si="154"/>
        <v>-</v>
      </c>
      <c r="AZ331" s="86" t="str">
        <f t="shared" si="155"/>
        <v>-</v>
      </c>
      <c r="BA331" s="86" t="str">
        <f t="shared" si="156"/>
        <v>-</v>
      </c>
      <c r="BB331" s="86" t="str">
        <f t="shared" si="157"/>
        <v>-</v>
      </c>
      <c r="BC331" s="86" t="str">
        <f t="shared" si="158"/>
        <v>-</v>
      </c>
      <c r="BD331" s="86" t="str">
        <f t="shared" si="159"/>
        <v>-</v>
      </c>
      <c r="BE331" s="86" t="str">
        <f t="shared" si="160"/>
        <v>-</v>
      </c>
      <c r="BF331" s="86" t="str">
        <f t="shared" si="161"/>
        <v>-</v>
      </c>
    </row>
    <row r="332" spans="1:58" x14ac:dyDescent="0.2">
      <c r="A332" s="19" t="s">
        <v>1144</v>
      </c>
      <c r="B332" s="19" t="s">
        <v>76</v>
      </c>
      <c r="C332" s="19">
        <v>8863875</v>
      </c>
      <c r="D332" s="81">
        <v>1</v>
      </c>
      <c r="E332" s="19" t="s">
        <v>1241</v>
      </c>
      <c r="F332" s="19" t="s">
        <v>1193</v>
      </c>
      <c r="G332" s="19" t="s">
        <v>1664</v>
      </c>
      <c r="H332" s="19" t="s">
        <v>663</v>
      </c>
      <c r="I332" s="19" t="s">
        <v>662</v>
      </c>
      <c r="J332" s="19">
        <v>80</v>
      </c>
      <c r="K332" s="19" t="s">
        <v>567</v>
      </c>
      <c r="L332" s="19" t="s">
        <v>502</v>
      </c>
      <c r="M332" s="19" t="s">
        <v>16</v>
      </c>
      <c r="N332" s="19">
        <v>45742</v>
      </c>
      <c r="O332" s="19">
        <v>2</v>
      </c>
      <c r="P332" s="81">
        <v>2</v>
      </c>
      <c r="Q332" s="19" t="s">
        <v>23</v>
      </c>
      <c r="R332" s="19" t="s">
        <v>11</v>
      </c>
      <c r="S332" s="19" t="s">
        <v>23</v>
      </c>
      <c r="T332" s="19">
        <v>2</v>
      </c>
      <c r="U332" s="19" t="s">
        <v>11</v>
      </c>
      <c r="V332" s="19" t="s">
        <v>19</v>
      </c>
      <c r="W332" s="19" t="s">
        <v>19</v>
      </c>
      <c r="X332" s="19">
        <v>6860</v>
      </c>
      <c r="Y332" s="19" t="s">
        <v>735</v>
      </c>
      <c r="Z332" s="19">
        <v>2</v>
      </c>
      <c r="AA332" s="19">
        <v>6860</v>
      </c>
      <c r="AB332" s="19">
        <v>6860</v>
      </c>
      <c r="AC332" s="178" t="str">
        <f>IF(OR(M332="13",M332="14",P332=8),"",IF(AND(OR(S332="AUTORIZADO", S332="PENDIENTE", S332="REDUCIDO", S332="AMPLIADO"),L332&lt;&gt;"HONORARIO" ), CONCATENATE(IF(H332="X","H",H332),"_",IF(OR(P332=5,P332=6),_xlfn.CONCAT(P332,"A"),P332),"_",VLOOKUP(T332,Datos!$B$2:$C$5,2,TRUE)),""))</f>
        <v>H_2_[hasta 3]</v>
      </c>
      <c r="AD332" s="178">
        <f t="shared" si="135"/>
        <v>13720</v>
      </c>
      <c r="AE332" s="82" t="str">
        <f t="shared" si="136"/>
        <v>-</v>
      </c>
      <c r="AF332" s="83" t="str">
        <f t="shared" si="137"/>
        <v>070601</v>
      </c>
      <c r="AG332" s="84"/>
      <c r="AH332" s="85" t="str">
        <f t="shared" si="138"/>
        <v>Corporación de Fomento de la Producción</v>
      </c>
      <c r="AI332" s="82" t="str">
        <f t="shared" si="139"/>
        <v>-</v>
      </c>
      <c r="AJ332" s="82">
        <f t="shared" si="140"/>
        <v>1</v>
      </c>
      <c r="AK332" s="82" t="str">
        <f t="shared" si="141"/>
        <v>-</v>
      </c>
      <c r="AL332" s="82" t="str">
        <f t="shared" si="142"/>
        <v>Identifica este registro como HOMBRE</v>
      </c>
      <c r="AM332" s="82" t="str">
        <f t="shared" si="143"/>
        <v>-</v>
      </c>
      <c r="AN332" s="82" t="str">
        <f t="shared" si="144"/>
        <v>-</v>
      </c>
      <c r="AO332" s="82" t="str">
        <f t="shared" si="145"/>
        <v>-</v>
      </c>
      <c r="AP332" s="57" t="str">
        <f t="shared" si="146"/>
        <v>-</v>
      </c>
      <c r="AQ332" s="86" t="str">
        <f t="shared" si="147"/>
        <v>-</v>
      </c>
      <c r="AR332" s="86" t="str">
        <f>IF(N332="","PRIMER_DIA en blanco",
IF(AND(M332="01",N332&gt;=L_Conversion!$C$118,N332&lt;=L_Conversion!$D$118),"-",
IF(AND(M332="02",N332&gt;=L_Conversion!$C$119,N332&lt;=L_Conversion!$D$119),"-",
IF(AND(M332="03",N332&gt;=L_Conversion!$C$120,N332&lt;=L_Conversion!$D$120),"-",
IF(AND(M332="04",N332&gt;=L_Conversion!$C$121,N332&lt;=L_Conversion!$D$121),"-",
IF(AND(M332="05",N332&gt;=L_Conversion!$C$122,N332&lt;=L_Conversion!$D$122),"-",
IF(AND(M332="06",N332&gt;=L_Conversion!$C$123,N332&lt;=L_Conversion!$D$123),"-",
IF(AND(M332="07",N332&gt;=L_Conversion!$C$124,N332&lt;=L_Conversion!$D$124),"-",
IF(AND(M332="08",N332&gt;=L_Conversion!$C$125,N332&lt;=L_Conversion!$D$125),"-",
IF(AND(M332="09",N332&gt;=L_Conversion!$C$126,N332&lt;=L_Conversion!$D$126),"-",
IF(AND(M332="10",N332&gt;=L_Conversion!$C$127,N332&lt;=L_Conversion!$D$127),"-",
IF(AND(M332="11",N332&gt;=L_Conversion!$C$128,N332&lt;=L_Conversion!$D$128),"-",
IF(AND(M332="12",N332&gt;=L_Conversion!$C$129,N332&lt;=L_Conversion!$D$129),"-",
IF(AND(M332="13",N332&gt;=L_Conversion!$C$116,N332&lt;=L_Conversion!$D$116),"-",
IF(AND(M332="14",N332&gt;=L_Conversion!$C$117,N332&lt;=L_Conversion!$D$117),"-",
"PRIMER_DIA fuera de rango")))))))))))))))</f>
        <v>-</v>
      </c>
      <c r="AS332" s="86" t="str">
        <f t="shared" si="148"/>
        <v>-</v>
      </c>
      <c r="AT332" s="86" t="str">
        <f t="shared" si="149"/>
        <v>-</v>
      </c>
      <c r="AU332" s="86" t="str">
        <f t="shared" si="150"/>
        <v>-</v>
      </c>
      <c r="AV332" s="86" t="str">
        <f t="shared" si="151"/>
        <v>-</v>
      </c>
      <c r="AW332" s="86" t="str">
        <f t="shared" si="152"/>
        <v>-</v>
      </c>
      <c r="AX332" s="86" t="str">
        <f t="shared" si="153"/>
        <v>-</v>
      </c>
      <c r="AY332" s="86" t="str">
        <f t="shared" si="154"/>
        <v>-</v>
      </c>
      <c r="AZ332" s="86" t="str">
        <f t="shared" si="155"/>
        <v>-</v>
      </c>
      <c r="BA332" s="86" t="str">
        <f t="shared" si="156"/>
        <v>-</v>
      </c>
      <c r="BB332" s="86" t="str">
        <f t="shared" si="157"/>
        <v>-</v>
      </c>
      <c r="BC332" s="86" t="str">
        <f t="shared" si="158"/>
        <v>-</v>
      </c>
      <c r="BD332" s="86" t="str">
        <f t="shared" si="159"/>
        <v>-</v>
      </c>
      <c r="BE332" s="86" t="str">
        <f t="shared" si="160"/>
        <v>-</v>
      </c>
      <c r="BF332" s="86" t="str">
        <f t="shared" si="161"/>
        <v>-</v>
      </c>
    </row>
    <row r="333" spans="1:58" x14ac:dyDescent="0.2">
      <c r="A333" s="19" t="s">
        <v>1144</v>
      </c>
      <c r="B333" s="19" t="s">
        <v>76</v>
      </c>
      <c r="C333" s="19">
        <v>10911246</v>
      </c>
      <c r="D333" s="81">
        <v>1</v>
      </c>
      <c r="E333" s="19" t="s">
        <v>1665</v>
      </c>
      <c r="F333" s="19" t="s">
        <v>1283</v>
      </c>
      <c r="G333" s="19" t="s">
        <v>1666</v>
      </c>
      <c r="H333" s="19" t="s">
        <v>1033</v>
      </c>
      <c r="I333" s="19" t="s">
        <v>662</v>
      </c>
      <c r="J333" s="19">
        <v>80</v>
      </c>
      <c r="K333" s="19" t="s">
        <v>561</v>
      </c>
      <c r="L333" s="19" t="s">
        <v>502</v>
      </c>
      <c r="M333" s="19" t="s">
        <v>16</v>
      </c>
      <c r="N333" s="19">
        <v>45743</v>
      </c>
      <c r="O333" s="19">
        <v>2</v>
      </c>
      <c r="P333" s="81">
        <v>1</v>
      </c>
      <c r="Q333" s="19" t="s">
        <v>23</v>
      </c>
      <c r="R333" s="19" t="s">
        <v>11</v>
      </c>
      <c r="S333" s="19" t="s">
        <v>23</v>
      </c>
      <c r="T333" s="19">
        <v>2</v>
      </c>
      <c r="U333" s="19" t="s">
        <v>11</v>
      </c>
      <c r="V333" s="19" t="s">
        <v>19</v>
      </c>
      <c r="W333" s="19" t="s">
        <v>19</v>
      </c>
      <c r="X333" s="19">
        <v>79319</v>
      </c>
      <c r="Y333" s="19" t="s">
        <v>735</v>
      </c>
      <c r="Z333" s="19">
        <v>2</v>
      </c>
      <c r="AA333" s="19">
        <v>79319</v>
      </c>
      <c r="AB333" s="19">
        <v>79319</v>
      </c>
      <c r="AC333" s="178" t="str">
        <f>IF(OR(M333="13",M333="14",P333=8),"",IF(AND(OR(S333="AUTORIZADO", S333="PENDIENTE", S333="REDUCIDO", S333="AMPLIADO"),L333&lt;&gt;"HONORARIO" ), CONCATENATE(IF(H333="X","H",H333),"_",IF(OR(P333=5,P333=6),_xlfn.CONCAT(P333,"A"),P333),"_",VLOOKUP(T333,Datos!$B$2:$C$5,2,TRUE)),""))</f>
        <v>M_1_[hasta 3]</v>
      </c>
      <c r="AD333" s="178">
        <f t="shared" si="135"/>
        <v>158638</v>
      </c>
      <c r="AE333" s="82" t="str">
        <f t="shared" si="136"/>
        <v>-</v>
      </c>
      <c r="AF333" s="83" t="str">
        <f t="shared" si="137"/>
        <v>070601</v>
      </c>
      <c r="AG333" s="84"/>
      <c r="AH333" s="85" t="str">
        <f t="shared" si="138"/>
        <v>Corporación de Fomento de la Producción</v>
      </c>
      <c r="AI333" s="82" t="str">
        <f t="shared" si="139"/>
        <v>-</v>
      </c>
      <c r="AJ333" s="82">
        <f t="shared" si="140"/>
        <v>1</v>
      </c>
      <c r="AK333" s="82" t="str">
        <f t="shared" si="141"/>
        <v>-</v>
      </c>
      <c r="AL333" s="82" t="str">
        <f t="shared" si="142"/>
        <v>Identifica este registro como MUJER</v>
      </c>
      <c r="AM333" s="82" t="str">
        <f t="shared" si="143"/>
        <v>-</v>
      </c>
      <c r="AN333" s="82" t="str">
        <f t="shared" si="144"/>
        <v>-</v>
      </c>
      <c r="AO333" s="82" t="str">
        <f t="shared" si="145"/>
        <v>-</v>
      </c>
      <c r="AP333" s="57" t="str">
        <f t="shared" si="146"/>
        <v>-</v>
      </c>
      <c r="AQ333" s="86" t="str">
        <f t="shared" si="147"/>
        <v>-</v>
      </c>
      <c r="AR333" s="86" t="str">
        <f>IF(N333="","PRIMER_DIA en blanco",
IF(AND(M333="01",N333&gt;=L_Conversion!$C$118,N333&lt;=L_Conversion!$D$118),"-",
IF(AND(M333="02",N333&gt;=L_Conversion!$C$119,N333&lt;=L_Conversion!$D$119),"-",
IF(AND(M333="03",N333&gt;=L_Conversion!$C$120,N333&lt;=L_Conversion!$D$120),"-",
IF(AND(M333="04",N333&gt;=L_Conversion!$C$121,N333&lt;=L_Conversion!$D$121),"-",
IF(AND(M333="05",N333&gt;=L_Conversion!$C$122,N333&lt;=L_Conversion!$D$122),"-",
IF(AND(M333="06",N333&gt;=L_Conversion!$C$123,N333&lt;=L_Conversion!$D$123),"-",
IF(AND(M333="07",N333&gt;=L_Conversion!$C$124,N333&lt;=L_Conversion!$D$124),"-",
IF(AND(M333="08",N333&gt;=L_Conversion!$C$125,N333&lt;=L_Conversion!$D$125),"-",
IF(AND(M333="09",N333&gt;=L_Conversion!$C$126,N333&lt;=L_Conversion!$D$126),"-",
IF(AND(M333="10",N333&gt;=L_Conversion!$C$127,N333&lt;=L_Conversion!$D$127),"-",
IF(AND(M333="11",N333&gt;=L_Conversion!$C$128,N333&lt;=L_Conversion!$D$128),"-",
IF(AND(M333="12",N333&gt;=L_Conversion!$C$129,N333&lt;=L_Conversion!$D$129),"-",
IF(AND(M333="13",N333&gt;=L_Conversion!$C$116,N333&lt;=L_Conversion!$D$116),"-",
IF(AND(M333="14",N333&gt;=L_Conversion!$C$117,N333&lt;=L_Conversion!$D$117),"-",
"PRIMER_DIA fuera de rango")))))))))))))))</f>
        <v>-</v>
      </c>
      <c r="AS333" s="86" t="str">
        <f t="shared" si="148"/>
        <v>-</v>
      </c>
      <c r="AT333" s="86" t="str">
        <f t="shared" si="149"/>
        <v>-</v>
      </c>
      <c r="AU333" s="86" t="str">
        <f t="shared" si="150"/>
        <v>-</v>
      </c>
      <c r="AV333" s="86" t="str">
        <f t="shared" si="151"/>
        <v>-</v>
      </c>
      <c r="AW333" s="86" t="str">
        <f t="shared" si="152"/>
        <v>-</v>
      </c>
      <c r="AX333" s="86" t="str">
        <f t="shared" si="153"/>
        <v>-</v>
      </c>
      <c r="AY333" s="86" t="str">
        <f t="shared" si="154"/>
        <v>-</v>
      </c>
      <c r="AZ333" s="86" t="str">
        <f t="shared" si="155"/>
        <v>-</v>
      </c>
      <c r="BA333" s="86" t="str">
        <f t="shared" si="156"/>
        <v>-</v>
      </c>
      <c r="BB333" s="86" t="str">
        <f t="shared" si="157"/>
        <v>-</v>
      </c>
      <c r="BC333" s="86" t="str">
        <f t="shared" si="158"/>
        <v>-</v>
      </c>
      <c r="BD333" s="86" t="str">
        <f t="shared" si="159"/>
        <v>-</v>
      </c>
      <c r="BE333" s="86" t="str">
        <f t="shared" si="160"/>
        <v>-</v>
      </c>
      <c r="BF333" s="86" t="str">
        <f t="shared" si="161"/>
        <v>-</v>
      </c>
    </row>
    <row r="334" spans="1:58" x14ac:dyDescent="0.2">
      <c r="A334" s="19" t="s">
        <v>1144</v>
      </c>
      <c r="B334" s="19" t="s">
        <v>76</v>
      </c>
      <c r="C334" s="19">
        <v>12421131</v>
      </c>
      <c r="D334" s="81" t="s">
        <v>1151</v>
      </c>
      <c r="E334" s="19" t="s">
        <v>1418</v>
      </c>
      <c r="F334" s="19" t="s">
        <v>1667</v>
      </c>
      <c r="G334" s="19" t="s">
        <v>1668</v>
      </c>
      <c r="H334" s="19" t="s">
        <v>1033</v>
      </c>
      <c r="I334" s="19" t="s">
        <v>662</v>
      </c>
      <c r="J334" s="19">
        <v>80</v>
      </c>
      <c r="K334" s="19" t="s">
        <v>567</v>
      </c>
      <c r="L334" s="19" t="s">
        <v>502</v>
      </c>
      <c r="M334" s="19" t="s">
        <v>16</v>
      </c>
      <c r="N334" s="19">
        <v>45743</v>
      </c>
      <c r="O334" s="19">
        <v>2</v>
      </c>
      <c r="P334" s="81">
        <v>1</v>
      </c>
      <c r="Q334" s="19" t="s">
        <v>23</v>
      </c>
      <c r="R334" s="19" t="s">
        <v>11</v>
      </c>
      <c r="S334" s="19" t="s">
        <v>23</v>
      </c>
      <c r="T334" s="19">
        <v>2</v>
      </c>
      <c r="U334" s="19" t="s">
        <v>11</v>
      </c>
      <c r="V334" s="19" t="s">
        <v>19</v>
      </c>
      <c r="W334" s="19" t="s">
        <v>19</v>
      </c>
      <c r="X334" s="19">
        <v>14217</v>
      </c>
      <c r="Y334" s="19" t="s">
        <v>735</v>
      </c>
      <c r="Z334" s="19">
        <v>2</v>
      </c>
      <c r="AA334" s="19">
        <v>14217</v>
      </c>
      <c r="AB334" s="19">
        <v>14217</v>
      </c>
      <c r="AC334" s="178" t="str">
        <f>IF(OR(M334="13",M334="14",P334=8),"",IF(AND(OR(S334="AUTORIZADO", S334="PENDIENTE", S334="REDUCIDO", S334="AMPLIADO"),L334&lt;&gt;"HONORARIO" ), CONCATENATE(IF(H334="X","H",H334),"_",IF(OR(P334=5,P334=6),_xlfn.CONCAT(P334,"A"),P334),"_",VLOOKUP(T334,Datos!$B$2:$C$5,2,TRUE)),""))</f>
        <v>M_1_[hasta 3]</v>
      </c>
      <c r="AD334" s="178">
        <f t="shared" si="135"/>
        <v>28434</v>
      </c>
      <c r="AE334" s="82" t="str">
        <f t="shared" si="136"/>
        <v>-</v>
      </c>
      <c r="AF334" s="83" t="str">
        <f t="shared" si="137"/>
        <v>070601</v>
      </c>
      <c r="AG334" s="84"/>
      <c r="AH334" s="85" t="str">
        <f t="shared" si="138"/>
        <v>Corporación de Fomento de la Producción</v>
      </c>
      <c r="AI334" s="82" t="str">
        <f t="shared" si="139"/>
        <v>-</v>
      </c>
      <c r="AJ334" s="82" t="str">
        <f t="shared" si="140"/>
        <v>K</v>
      </c>
      <c r="AK334" s="82" t="str">
        <f t="shared" si="141"/>
        <v>-</v>
      </c>
      <c r="AL334" s="82" t="str">
        <f t="shared" si="142"/>
        <v>Identifica este registro como MUJER</v>
      </c>
      <c r="AM334" s="82" t="str">
        <f t="shared" si="143"/>
        <v>-</v>
      </c>
      <c r="AN334" s="82" t="str">
        <f t="shared" si="144"/>
        <v>-</v>
      </c>
      <c r="AO334" s="82" t="str">
        <f t="shared" si="145"/>
        <v>-</v>
      </c>
      <c r="AP334" s="57" t="str">
        <f t="shared" si="146"/>
        <v>-</v>
      </c>
      <c r="AQ334" s="86" t="str">
        <f t="shared" si="147"/>
        <v>-</v>
      </c>
      <c r="AR334" s="86" t="str">
        <f>IF(N334="","PRIMER_DIA en blanco",
IF(AND(M334="01",N334&gt;=L_Conversion!$C$118,N334&lt;=L_Conversion!$D$118),"-",
IF(AND(M334="02",N334&gt;=L_Conversion!$C$119,N334&lt;=L_Conversion!$D$119),"-",
IF(AND(M334="03",N334&gt;=L_Conversion!$C$120,N334&lt;=L_Conversion!$D$120),"-",
IF(AND(M334="04",N334&gt;=L_Conversion!$C$121,N334&lt;=L_Conversion!$D$121),"-",
IF(AND(M334="05",N334&gt;=L_Conversion!$C$122,N334&lt;=L_Conversion!$D$122),"-",
IF(AND(M334="06",N334&gt;=L_Conversion!$C$123,N334&lt;=L_Conversion!$D$123),"-",
IF(AND(M334="07",N334&gt;=L_Conversion!$C$124,N334&lt;=L_Conversion!$D$124),"-",
IF(AND(M334="08",N334&gt;=L_Conversion!$C$125,N334&lt;=L_Conversion!$D$125),"-",
IF(AND(M334="09",N334&gt;=L_Conversion!$C$126,N334&lt;=L_Conversion!$D$126),"-",
IF(AND(M334="10",N334&gt;=L_Conversion!$C$127,N334&lt;=L_Conversion!$D$127),"-",
IF(AND(M334="11",N334&gt;=L_Conversion!$C$128,N334&lt;=L_Conversion!$D$128),"-",
IF(AND(M334="12",N334&gt;=L_Conversion!$C$129,N334&lt;=L_Conversion!$D$129),"-",
IF(AND(M334="13",N334&gt;=L_Conversion!$C$116,N334&lt;=L_Conversion!$D$116),"-",
IF(AND(M334="14",N334&gt;=L_Conversion!$C$117,N334&lt;=L_Conversion!$D$117),"-",
"PRIMER_DIA fuera de rango")))))))))))))))</f>
        <v>-</v>
      </c>
      <c r="AS334" s="86" t="str">
        <f t="shared" si="148"/>
        <v>-</v>
      </c>
      <c r="AT334" s="86" t="str">
        <f t="shared" si="149"/>
        <v>-</v>
      </c>
      <c r="AU334" s="86" t="str">
        <f t="shared" si="150"/>
        <v>-</v>
      </c>
      <c r="AV334" s="86" t="str">
        <f t="shared" si="151"/>
        <v>-</v>
      </c>
      <c r="AW334" s="86" t="str">
        <f t="shared" si="152"/>
        <v>-</v>
      </c>
      <c r="AX334" s="86" t="str">
        <f t="shared" si="153"/>
        <v>-</v>
      </c>
      <c r="AY334" s="86" t="str">
        <f t="shared" si="154"/>
        <v>-</v>
      </c>
      <c r="AZ334" s="86" t="str">
        <f t="shared" si="155"/>
        <v>-</v>
      </c>
      <c r="BA334" s="86" t="str">
        <f t="shared" si="156"/>
        <v>-</v>
      </c>
      <c r="BB334" s="86" t="str">
        <f t="shared" si="157"/>
        <v>-</v>
      </c>
      <c r="BC334" s="86" t="str">
        <f t="shared" si="158"/>
        <v>-</v>
      </c>
      <c r="BD334" s="86" t="str">
        <f t="shared" si="159"/>
        <v>-</v>
      </c>
      <c r="BE334" s="86" t="str">
        <f t="shared" si="160"/>
        <v>-</v>
      </c>
      <c r="BF334" s="86" t="str">
        <f t="shared" si="161"/>
        <v>-</v>
      </c>
    </row>
    <row r="335" spans="1:58" x14ac:dyDescent="0.2">
      <c r="A335" s="19" t="s">
        <v>1144</v>
      </c>
      <c r="B335" s="19" t="s">
        <v>76</v>
      </c>
      <c r="C335" s="19">
        <v>8998704</v>
      </c>
      <c r="D335" s="81">
        <v>0</v>
      </c>
      <c r="E335" s="19" t="s">
        <v>1669</v>
      </c>
      <c r="F335" s="19" t="s">
        <v>1670</v>
      </c>
      <c r="G335" s="19" t="s">
        <v>1671</v>
      </c>
      <c r="H335" s="19" t="s">
        <v>1033</v>
      </c>
      <c r="I335" s="19" t="s">
        <v>662</v>
      </c>
      <c r="J335" s="19">
        <v>80</v>
      </c>
      <c r="K335" s="19" t="s">
        <v>567</v>
      </c>
      <c r="L335" s="19" t="s">
        <v>502</v>
      </c>
      <c r="M335" s="19" t="s">
        <v>16</v>
      </c>
      <c r="N335" s="19">
        <v>45743</v>
      </c>
      <c r="O335" s="19">
        <v>16</v>
      </c>
      <c r="P335" s="81">
        <v>1</v>
      </c>
      <c r="Q335" s="19" t="s">
        <v>23</v>
      </c>
      <c r="R335" s="19" t="s">
        <v>11</v>
      </c>
      <c r="S335" s="19" t="s">
        <v>23</v>
      </c>
      <c r="T335" s="19">
        <v>16</v>
      </c>
      <c r="U335" s="19" t="s">
        <v>11</v>
      </c>
      <c r="V335" s="19" t="s">
        <v>11</v>
      </c>
      <c r="W335" s="19" t="s">
        <v>19</v>
      </c>
      <c r="X335" s="19">
        <v>986835</v>
      </c>
      <c r="Y335" s="19" t="s">
        <v>735</v>
      </c>
      <c r="Z335" s="19">
        <v>16</v>
      </c>
      <c r="AA335" s="19">
        <v>986835</v>
      </c>
      <c r="AB335" s="19">
        <v>986835</v>
      </c>
      <c r="AC335" s="178" t="str">
        <f>IF(OR(M335="13",M335="14",P335=8),"",IF(AND(OR(S335="AUTORIZADO", S335="PENDIENTE", S335="REDUCIDO", S335="AMPLIADO"),L335&lt;&gt;"HONORARIO" ), CONCATENATE(IF(H335="X","H",H335),"_",IF(OR(P335=5,P335=6),_xlfn.CONCAT(P335,"A"),P335),"_",VLOOKUP(T335,Datos!$B$2:$C$5,2,TRUE)),""))</f>
        <v>M_1_[11 +]</v>
      </c>
      <c r="AD335" s="178">
        <f t="shared" si="135"/>
        <v>1973670</v>
      </c>
      <c r="AE335" s="82" t="str">
        <f t="shared" si="136"/>
        <v>-</v>
      </c>
      <c r="AF335" s="83" t="str">
        <f t="shared" si="137"/>
        <v>070601</v>
      </c>
      <c r="AG335" s="84"/>
      <c r="AH335" s="85" t="str">
        <f t="shared" si="138"/>
        <v>Corporación de Fomento de la Producción</v>
      </c>
      <c r="AI335" s="82" t="str">
        <f t="shared" si="139"/>
        <v>-</v>
      </c>
      <c r="AJ335" s="82">
        <f t="shared" si="140"/>
        <v>0</v>
      </c>
      <c r="AK335" s="82" t="str">
        <f t="shared" si="141"/>
        <v>-</v>
      </c>
      <c r="AL335" s="82" t="str">
        <f t="shared" si="142"/>
        <v>Identifica este registro como MUJER</v>
      </c>
      <c r="AM335" s="82" t="str">
        <f t="shared" si="143"/>
        <v>-</v>
      </c>
      <c r="AN335" s="82" t="str">
        <f t="shared" si="144"/>
        <v>-</v>
      </c>
      <c r="AO335" s="82" t="str">
        <f t="shared" si="145"/>
        <v>-</v>
      </c>
      <c r="AP335" s="57" t="str">
        <f t="shared" si="146"/>
        <v>-</v>
      </c>
      <c r="AQ335" s="86" t="str">
        <f t="shared" si="147"/>
        <v>-</v>
      </c>
      <c r="AR335" s="86" t="str">
        <f>IF(N335="","PRIMER_DIA en blanco",
IF(AND(M335="01",N335&gt;=L_Conversion!$C$118,N335&lt;=L_Conversion!$D$118),"-",
IF(AND(M335="02",N335&gt;=L_Conversion!$C$119,N335&lt;=L_Conversion!$D$119),"-",
IF(AND(M335="03",N335&gt;=L_Conversion!$C$120,N335&lt;=L_Conversion!$D$120),"-",
IF(AND(M335="04",N335&gt;=L_Conversion!$C$121,N335&lt;=L_Conversion!$D$121),"-",
IF(AND(M335="05",N335&gt;=L_Conversion!$C$122,N335&lt;=L_Conversion!$D$122),"-",
IF(AND(M335="06",N335&gt;=L_Conversion!$C$123,N335&lt;=L_Conversion!$D$123),"-",
IF(AND(M335="07",N335&gt;=L_Conversion!$C$124,N335&lt;=L_Conversion!$D$124),"-",
IF(AND(M335="08",N335&gt;=L_Conversion!$C$125,N335&lt;=L_Conversion!$D$125),"-",
IF(AND(M335="09",N335&gt;=L_Conversion!$C$126,N335&lt;=L_Conversion!$D$126),"-",
IF(AND(M335="10",N335&gt;=L_Conversion!$C$127,N335&lt;=L_Conversion!$D$127),"-",
IF(AND(M335="11",N335&gt;=L_Conversion!$C$128,N335&lt;=L_Conversion!$D$128),"-",
IF(AND(M335="12",N335&gt;=L_Conversion!$C$129,N335&lt;=L_Conversion!$D$129),"-",
IF(AND(M335="13",N335&gt;=L_Conversion!$C$116,N335&lt;=L_Conversion!$D$116),"-",
IF(AND(M335="14",N335&gt;=L_Conversion!$C$117,N335&lt;=L_Conversion!$D$117),"-",
"PRIMER_DIA fuera de rango")))))))))))))))</f>
        <v>-</v>
      </c>
      <c r="AS335" s="86" t="str">
        <f t="shared" si="148"/>
        <v>-</v>
      </c>
      <c r="AT335" s="86" t="str">
        <f t="shared" si="149"/>
        <v>-</v>
      </c>
      <c r="AU335" s="86" t="str">
        <f t="shared" si="150"/>
        <v>-</v>
      </c>
      <c r="AV335" s="86" t="str">
        <f t="shared" si="151"/>
        <v>-</v>
      </c>
      <c r="AW335" s="86" t="str">
        <f t="shared" si="152"/>
        <v>-</v>
      </c>
      <c r="AX335" s="86" t="str">
        <f t="shared" si="153"/>
        <v>-</v>
      </c>
      <c r="AY335" s="86" t="str">
        <f t="shared" si="154"/>
        <v>-</v>
      </c>
      <c r="AZ335" s="86" t="str">
        <f t="shared" si="155"/>
        <v>-</v>
      </c>
      <c r="BA335" s="86" t="str">
        <f t="shared" si="156"/>
        <v>-</v>
      </c>
      <c r="BB335" s="86" t="str">
        <f t="shared" si="157"/>
        <v>-</v>
      </c>
      <c r="BC335" s="86" t="str">
        <f t="shared" si="158"/>
        <v>-</v>
      </c>
      <c r="BD335" s="86" t="str">
        <f t="shared" si="159"/>
        <v>-</v>
      </c>
      <c r="BE335" s="86" t="str">
        <f t="shared" si="160"/>
        <v>-</v>
      </c>
      <c r="BF335" s="86" t="str">
        <f t="shared" si="161"/>
        <v>-</v>
      </c>
    </row>
    <row r="336" spans="1:58" x14ac:dyDescent="0.2">
      <c r="A336" s="19" t="s">
        <v>1144</v>
      </c>
      <c r="B336" s="19" t="s">
        <v>76</v>
      </c>
      <c r="C336" s="19">
        <v>12869864</v>
      </c>
      <c r="D336" s="81">
        <v>7</v>
      </c>
      <c r="E336" s="19" t="s">
        <v>1231</v>
      </c>
      <c r="F336" s="19" t="s">
        <v>1232</v>
      </c>
      <c r="G336" s="19" t="s">
        <v>1233</v>
      </c>
      <c r="H336" s="19" t="s">
        <v>1033</v>
      </c>
      <c r="I336" s="19" t="s">
        <v>662</v>
      </c>
      <c r="J336" s="19">
        <v>80</v>
      </c>
      <c r="K336" s="19" t="s">
        <v>561</v>
      </c>
      <c r="L336" s="19" t="s">
        <v>502</v>
      </c>
      <c r="M336" s="19" t="s">
        <v>16</v>
      </c>
      <c r="N336" s="19">
        <v>45743</v>
      </c>
      <c r="O336" s="19">
        <v>2</v>
      </c>
      <c r="P336" s="81">
        <v>1</v>
      </c>
      <c r="Q336" s="19" t="s">
        <v>23</v>
      </c>
      <c r="R336" s="19" t="s">
        <v>11</v>
      </c>
      <c r="S336" s="19" t="s">
        <v>23</v>
      </c>
      <c r="T336" s="19">
        <v>2</v>
      </c>
      <c r="U336" s="19" t="s">
        <v>11</v>
      </c>
      <c r="V336" s="19" t="s">
        <v>19</v>
      </c>
      <c r="W336" s="19" t="s">
        <v>19</v>
      </c>
      <c r="X336" s="19">
        <v>41676</v>
      </c>
      <c r="Y336" s="19" t="s">
        <v>735</v>
      </c>
      <c r="Z336" s="19">
        <v>2</v>
      </c>
      <c r="AA336" s="19">
        <v>41676</v>
      </c>
      <c r="AB336" s="19">
        <v>41676</v>
      </c>
      <c r="AC336" s="178" t="str">
        <f>IF(OR(M336="13",M336="14",P336=8),"",IF(AND(OR(S336="AUTORIZADO", S336="PENDIENTE", S336="REDUCIDO", S336="AMPLIADO"),L336&lt;&gt;"HONORARIO" ), CONCATENATE(IF(H336="X","H",H336),"_",IF(OR(P336=5,P336=6),_xlfn.CONCAT(P336,"A"),P336),"_",VLOOKUP(T336,Datos!$B$2:$C$5,2,TRUE)),""))</f>
        <v>M_1_[hasta 3]</v>
      </c>
      <c r="AD336" s="178">
        <f t="shared" si="135"/>
        <v>83352</v>
      </c>
      <c r="AE336" s="82" t="str">
        <f t="shared" si="136"/>
        <v>-</v>
      </c>
      <c r="AF336" s="83" t="str">
        <f t="shared" si="137"/>
        <v>070601</v>
      </c>
      <c r="AG336" s="84"/>
      <c r="AH336" s="85" t="str">
        <f t="shared" si="138"/>
        <v>Corporación de Fomento de la Producción</v>
      </c>
      <c r="AI336" s="82" t="str">
        <f t="shared" si="139"/>
        <v>-</v>
      </c>
      <c r="AJ336" s="82">
        <f t="shared" si="140"/>
        <v>7</v>
      </c>
      <c r="AK336" s="82" t="str">
        <f t="shared" si="141"/>
        <v>-</v>
      </c>
      <c r="AL336" s="82" t="str">
        <f t="shared" si="142"/>
        <v>Identifica este registro como MUJER</v>
      </c>
      <c r="AM336" s="82" t="str">
        <f t="shared" si="143"/>
        <v>-</v>
      </c>
      <c r="AN336" s="82" t="str">
        <f t="shared" si="144"/>
        <v>-</v>
      </c>
      <c r="AO336" s="82" t="str">
        <f t="shared" si="145"/>
        <v>-</v>
      </c>
      <c r="AP336" s="57" t="str">
        <f t="shared" si="146"/>
        <v>-</v>
      </c>
      <c r="AQ336" s="86" t="str">
        <f t="shared" si="147"/>
        <v>-</v>
      </c>
      <c r="AR336" s="86" t="str">
        <f>IF(N336="","PRIMER_DIA en blanco",
IF(AND(M336="01",N336&gt;=L_Conversion!$C$118,N336&lt;=L_Conversion!$D$118),"-",
IF(AND(M336="02",N336&gt;=L_Conversion!$C$119,N336&lt;=L_Conversion!$D$119),"-",
IF(AND(M336="03",N336&gt;=L_Conversion!$C$120,N336&lt;=L_Conversion!$D$120),"-",
IF(AND(M336="04",N336&gt;=L_Conversion!$C$121,N336&lt;=L_Conversion!$D$121),"-",
IF(AND(M336="05",N336&gt;=L_Conversion!$C$122,N336&lt;=L_Conversion!$D$122),"-",
IF(AND(M336="06",N336&gt;=L_Conversion!$C$123,N336&lt;=L_Conversion!$D$123),"-",
IF(AND(M336="07",N336&gt;=L_Conversion!$C$124,N336&lt;=L_Conversion!$D$124),"-",
IF(AND(M336="08",N336&gt;=L_Conversion!$C$125,N336&lt;=L_Conversion!$D$125),"-",
IF(AND(M336="09",N336&gt;=L_Conversion!$C$126,N336&lt;=L_Conversion!$D$126),"-",
IF(AND(M336="10",N336&gt;=L_Conversion!$C$127,N336&lt;=L_Conversion!$D$127),"-",
IF(AND(M336="11",N336&gt;=L_Conversion!$C$128,N336&lt;=L_Conversion!$D$128),"-",
IF(AND(M336="12",N336&gt;=L_Conversion!$C$129,N336&lt;=L_Conversion!$D$129),"-",
IF(AND(M336="13",N336&gt;=L_Conversion!$C$116,N336&lt;=L_Conversion!$D$116),"-",
IF(AND(M336="14",N336&gt;=L_Conversion!$C$117,N336&lt;=L_Conversion!$D$117),"-",
"PRIMER_DIA fuera de rango")))))))))))))))</f>
        <v>-</v>
      </c>
      <c r="AS336" s="86" t="str">
        <f t="shared" si="148"/>
        <v>-</v>
      </c>
      <c r="AT336" s="86" t="str">
        <f t="shared" si="149"/>
        <v>-</v>
      </c>
      <c r="AU336" s="86" t="str">
        <f t="shared" si="150"/>
        <v>-</v>
      </c>
      <c r="AV336" s="86" t="str">
        <f t="shared" si="151"/>
        <v>-</v>
      </c>
      <c r="AW336" s="86" t="str">
        <f t="shared" si="152"/>
        <v>-</v>
      </c>
      <c r="AX336" s="86" t="str">
        <f t="shared" si="153"/>
        <v>-</v>
      </c>
      <c r="AY336" s="86" t="str">
        <f t="shared" si="154"/>
        <v>-</v>
      </c>
      <c r="AZ336" s="86" t="str">
        <f t="shared" si="155"/>
        <v>-</v>
      </c>
      <c r="BA336" s="86" t="str">
        <f t="shared" si="156"/>
        <v>-</v>
      </c>
      <c r="BB336" s="86" t="str">
        <f t="shared" si="157"/>
        <v>-</v>
      </c>
      <c r="BC336" s="86" t="str">
        <f t="shared" si="158"/>
        <v>-</v>
      </c>
      <c r="BD336" s="86" t="str">
        <f t="shared" si="159"/>
        <v>-</v>
      </c>
      <c r="BE336" s="86" t="str">
        <f t="shared" si="160"/>
        <v>-</v>
      </c>
      <c r="BF336" s="86" t="str">
        <f t="shared" si="161"/>
        <v>-</v>
      </c>
    </row>
    <row r="337" spans="1:58" x14ac:dyDescent="0.2">
      <c r="A337" s="19" t="s">
        <v>1144</v>
      </c>
      <c r="B337" s="19" t="s">
        <v>887</v>
      </c>
      <c r="C337" s="19">
        <v>15804728</v>
      </c>
      <c r="D337" s="81">
        <v>4</v>
      </c>
      <c r="E337" s="19" t="s">
        <v>1672</v>
      </c>
      <c r="F337" s="19" t="s">
        <v>1673</v>
      </c>
      <c r="G337" s="19" t="s">
        <v>1674</v>
      </c>
      <c r="H337" s="19" t="s">
        <v>1033</v>
      </c>
      <c r="I337" s="19" t="s">
        <v>662</v>
      </c>
      <c r="J337" s="19">
        <v>80</v>
      </c>
      <c r="K337" s="19" t="s">
        <v>563</v>
      </c>
      <c r="L337" s="19" t="s">
        <v>502</v>
      </c>
      <c r="M337" s="19" t="s">
        <v>16</v>
      </c>
      <c r="N337" s="19">
        <v>45743</v>
      </c>
      <c r="O337" s="19">
        <v>30</v>
      </c>
      <c r="P337" s="81">
        <v>1</v>
      </c>
      <c r="Q337" s="19" t="s">
        <v>23</v>
      </c>
      <c r="R337" s="19" t="s">
        <v>11</v>
      </c>
      <c r="S337" s="19" t="s">
        <v>23</v>
      </c>
      <c r="T337" s="19">
        <v>30</v>
      </c>
      <c r="U337" s="19" t="s">
        <v>11</v>
      </c>
      <c r="V337" s="19" t="s">
        <v>11</v>
      </c>
      <c r="W337" s="19" t="s">
        <v>19</v>
      </c>
      <c r="X337" s="19">
        <v>3247528</v>
      </c>
      <c r="Y337" s="19" t="s">
        <v>735</v>
      </c>
      <c r="Z337" s="19">
        <v>30</v>
      </c>
      <c r="AA337" s="19">
        <v>3247528</v>
      </c>
      <c r="AB337" s="19">
        <v>3247528</v>
      </c>
      <c r="AC337" s="178" t="str">
        <f>IF(OR(M337="13",M337="14",P337=8),"",IF(AND(OR(S337="AUTORIZADO", S337="PENDIENTE", S337="REDUCIDO", S337="AMPLIADO"),L337&lt;&gt;"HONORARIO" ), CONCATENATE(IF(H337="X","H",H337),"_",IF(OR(P337=5,P337=6),_xlfn.CONCAT(P337,"A"),P337),"_",VLOOKUP(T337,Datos!$B$2:$C$5,2,TRUE)),""))</f>
        <v>M_1_[11 +]</v>
      </c>
      <c r="AD337" s="178">
        <f t="shared" si="135"/>
        <v>6495056</v>
      </c>
      <c r="AE337" s="82" t="str">
        <f t="shared" si="136"/>
        <v>-</v>
      </c>
      <c r="AF337" s="83" t="str">
        <f t="shared" si="137"/>
        <v>070607</v>
      </c>
      <c r="AG337" s="84"/>
      <c r="AH337" s="85" t="str">
        <f t="shared" si="138"/>
        <v>Corporación de Fomento de la Producción</v>
      </c>
      <c r="AI337" s="82" t="str">
        <f t="shared" si="139"/>
        <v>-</v>
      </c>
      <c r="AJ337" s="82">
        <f t="shared" si="140"/>
        <v>4</v>
      </c>
      <c r="AK337" s="82" t="str">
        <f t="shared" si="141"/>
        <v>-</v>
      </c>
      <c r="AL337" s="82" t="str">
        <f t="shared" si="142"/>
        <v>Identifica este registro como MUJER</v>
      </c>
      <c r="AM337" s="82" t="str">
        <f t="shared" si="143"/>
        <v>-</v>
      </c>
      <c r="AN337" s="82" t="str">
        <f t="shared" si="144"/>
        <v>-</v>
      </c>
      <c r="AO337" s="82" t="str">
        <f t="shared" si="145"/>
        <v>-</v>
      </c>
      <c r="AP337" s="57" t="str">
        <f t="shared" si="146"/>
        <v>-</v>
      </c>
      <c r="AQ337" s="86" t="str">
        <f t="shared" si="147"/>
        <v>-</v>
      </c>
      <c r="AR337" s="86" t="str">
        <f>IF(N337="","PRIMER_DIA en blanco",
IF(AND(M337="01",N337&gt;=L_Conversion!$C$118,N337&lt;=L_Conversion!$D$118),"-",
IF(AND(M337="02",N337&gt;=L_Conversion!$C$119,N337&lt;=L_Conversion!$D$119),"-",
IF(AND(M337="03",N337&gt;=L_Conversion!$C$120,N337&lt;=L_Conversion!$D$120),"-",
IF(AND(M337="04",N337&gt;=L_Conversion!$C$121,N337&lt;=L_Conversion!$D$121),"-",
IF(AND(M337="05",N337&gt;=L_Conversion!$C$122,N337&lt;=L_Conversion!$D$122),"-",
IF(AND(M337="06",N337&gt;=L_Conversion!$C$123,N337&lt;=L_Conversion!$D$123),"-",
IF(AND(M337="07",N337&gt;=L_Conversion!$C$124,N337&lt;=L_Conversion!$D$124),"-",
IF(AND(M337="08",N337&gt;=L_Conversion!$C$125,N337&lt;=L_Conversion!$D$125),"-",
IF(AND(M337="09",N337&gt;=L_Conversion!$C$126,N337&lt;=L_Conversion!$D$126),"-",
IF(AND(M337="10",N337&gt;=L_Conversion!$C$127,N337&lt;=L_Conversion!$D$127),"-",
IF(AND(M337="11",N337&gt;=L_Conversion!$C$128,N337&lt;=L_Conversion!$D$128),"-",
IF(AND(M337="12",N337&gt;=L_Conversion!$C$129,N337&lt;=L_Conversion!$D$129),"-",
IF(AND(M337="13",N337&gt;=L_Conversion!$C$116,N337&lt;=L_Conversion!$D$116),"-",
IF(AND(M337="14",N337&gt;=L_Conversion!$C$117,N337&lt;=L_Conversion!$D$117),"-",
"PRIMER_DIA fuera de rango")))))))))))))))</f>
        <v>-</v>
      </c>
      <c r="AS337" s="86" t="str">
        <f t="shared" si="148"/>
        <v>-</v>
      </c>
      <c r="AT337" s="86" t="str">
        <f t="shared" si="149"/>
        <v>-</v>
      </c>
      <c r="AU337" s="86" t="str">
        <f t="shared" si="150"/>
        <v>-</v>
      </c>
      <c r="AV337" s="86" t="str">
        <f t="shared" si="151"/>
        <v>-</v>
      </c>
      <c r="AW337" s="86" t="str">
        <f t="shared" si="152"/>
        <v>-</v>
      </c>
      <c r="AX337" s="86" t="str">
        <f t="shared" si="153"/>
        <v>-</v>
      </c>
      <c r="AY337" s="86" t="str">
        <f t="shared" si="154"/>
        <v>-</v>
      </c>
      <c r="AZ337" s="86" t="str">
        <f t="shared" si="155"/>
        <v>-</v>
      </c>
      <c r="BA337" s="86" t="str">
        <f t="shared" si="156"/>
        <v>-</v>
      </c>
      <c r="BB337" s="86" t="str">
        <f t="shared" si="157"/>
        <v>-</v>
      </c>
      <c r="BC337" s="86" t="str">
        <f t="shared" si="158"/>
        <v>-</v>
      </c>
      <c r="BD337" s="86" t="str">
        <f t="shared" si="159"/>
        <v>-</v>
      </c>
      <c r="BE337" s="86" t="str">
        <f t="shared" si="160"/>
        <v>-</v>
      </c>
      <c r="BF337" s="86" t="str">
        <f t="shared" si="161"/>
        <v>-</v>
      </c>
    </row>
    <row r="338" spans="1:58" x14ac:dyDescent="0.2">
      <c r="A338" s="19" t="s">
        <v>1144</v>
      </c>
      <c r="B338" s="19" t="s">
        <v>76</v>
      </c>
      <c r="C338" s="19">
        <v>9210273</v>
      </c>
      <c r="D338" s="81">
        <v>4</v>
      </c>
      <c r="E338" s="19" t="s">
        <v>1481</v>
      </c>
      <c r="F338" s="19" t="s">
        <v>1158</v>
      </c>
      <c r="G338" s="19" t="s">
        <v>1482</v>
      </c>
      <c r="H338" s="19" t="s">
        <v>1033</v>
      </c>
      <c r="I338" s="19" t="s">
        <v>662</v>
      </c>
      <c r="J338" s="19">
        <v>80</v>
      </c>
      <c r="K338" s="19" t="s">
        <v>563</v>
      </c>
      <c r="L338" s="19" t="s">
        <v>502</v>
      </c>
      <c r="M338" s="19" t="s">
        <v>16</v>
      </c>
      <c r="N338" s="19">
        <v>45743</v>
      </c>
      <c r="O338" s="19">
        <v>2</v>
      </c>
      <c r="P338" s="81">
        <v>1</v>
      </c>
      <c r="Q338" s="19" t="s">
        <v>23</v>
      </c>
      <c r="R338" s="19" t="s">
        <v>11</v>
      </c>
      <c r="S338" s="19" t="s">
        <v>23</v>
      </c>
      <c r="T338" s="19">
        <v>2</v>
      </c>
      <c r="U338" s="19" t="s">
        <v>11</v>
      </c>
      <c r="V338" s="19" t="s">
        <v>19</v>
      </c>
      <c r="W338" s="19" t="s">
        <v>19</v>
      </c>
      <c r="X338" s="19">
        <v>43057</v>
      </c>
      <c r="Y338" s="19" t="s">
        <v>735</v>
      </c>
      <c r="Z338" s="19">
        <v>2</v>
      </c>
      <c r="AA338" s="19">
        <v>43057</v>
      </c>
      <c r="AB338" s="19">
        <v>43057</v>
      </c>
      <c r="AC338" s="178" t="str">
        <f>IF(OR(M338="13",M338="14",P338=8),"",IF(AND(OR(S338="AUTORIZADO", S338="PENDIENTE", S338="REDUCIDO", S338="AMPLIADO"),L338&lt;&gt;"HONORARIO" ), CONCATENATE(IF(H338="X","H",H338),"_",IF(OR(P338=5,P338=6),_xlfn.CONCAT(P338,"A"),P338),"_",VLOOKUP(T338,Datos!$B$2:$C$5,2,TRUE)),""))</f>
        <v>M_1_[hasta 3]</v>
      </c>
      <c r="AD338" s="178">
        <f t="shared" si="135"/>
        <v>86114</v>
      </c>
      <c r="AE338" s="82" t="str">
        <f t="shared" si="136"/>
        <v>-</v>
      </c>
      <c r="AF338" s="83" t="str">
        <f t="shared" si="137"/>
        <v>070601</v>
      </c>
      <c r="AG338" s="84"/>
      <c r="AH338" s="85" t="str">
        <f t="shared" si="138"/>
        <v>Corporación de Fomento de la Producción</v>
      </c>
      <c r="AI338" s="82" t="str">
        <f t="shared" si="139"/>
        <v>-</v>
      </c>
      <c r="AJ338" s="82">
        <f t="shared" si="140"/>
        <v>4</v>
      </c>
      <c r="AK338" s="82" t="str">
        <f t="shared" si="141"/>
        <v>-</v>
      </c>
      <c r="AL338" s="82" t="str">
        <f t="shared" si="142"/>
        <v>Identifica este registro como MUJER</v>
      </c>
      <c r="AM338" s="82" t="str">
        <f t="shared" si="143"/>
        <v>-</v>
      </c>
      <c r="AN338" s="82" t="str">
        <f t="shared" si="144"/>
        <v>-</v>
      </c>
      <c r="AO338" s="82" t="str">
        <f t="shared" si="145"/>
        <v>-</v>
      </c>
      <c r="AP338" s="57" t="str">
        <f t="shared" si="146"/>
        <v>-</v>
      </c>
      <c r="AQ338" s="86" t="str">
        <f t="shared" si="147"/>
        <v>-</v>
      </c>
      <c r="AR338" s="86" t="str">
        <f>IF(N338="","PRIMER_DIA en blanco",
IF(AND(M338="01",N338&gt;=L_Conversion!$C$118,N338&lt;=L_Conversion!$D$118),"-",
IF(AND(M338="02",N338&gt;=L_Conversion!$C$119,N338&lt;=L_Conversion!$D$119),"-",
IF(AND(M338="03",N338&gt;=L_Conversion!$C$120,N338&lt;=L_Conversion!$D$120),"-",
IF(AND(M338="04",N338&gt;=L_Conversion!$C$121,N338&lt;=L_Conversion!$D$121),"-",
IF(AND(M338="05",N338&gt;=L_Conversion!$C$122,N338&lt;=L_Conversion!$D$122),"-",
IF(AND(M338="06",N338&gt;=L_Conversion!$C$123,N338&lt;=L_Conversion!$D$123),"-",
IF(AND(M338="07",N338&gt;=L_Conversion!$C$124,N338&lt;=L_Conversion!$D$124),"-",
IF(AND(M338="08",N338&gt;=L_Conversion!$C$125,N338&lt;=L_Conversion!$D$125),"-",
IF(AND(M338="09",N338&gt;=L_Conversion!$C$126,N338&lt;=L_Conversion!$D$126),"-",
IF(AND(M338="10",N338&gt;=L_Conversion!$C$127,N338&lt;=L_Conversion!$D$127),"-",
IF(AND(M338="11",N338&gt;=L_Conversion!$C$128,N338&lt;=L_Conversion!$D$128),"-",
IF(AND(M338="12",N338&gt;=L_Conversion!$C$129,N338&lt;=L_Conversion!$D$129),"-",
IF(AND(M338="13",N338&gt;=L_Conversion!$C$116,N338&lt;=L_Conversion!$D$116),"-",
IF(AND(M338="14",N338&gt;=L_Conversion!$C$117,N338&lt;=L_Conversion!$D$117),"-",
"PRIMER_DIA fuera de rango")))))))))))))))</f>
        <v>-</v>
      </c>
      <c r="AS338" s="86" t="str">
        <f t="shared" si="148"/>
        <v>-</v>
      </c>
      <c r="AT338" s="86" t="str">
        <f t="shared" si="149"/>
        <v>-</v>
      </c>
      <c r="AU338" s="86" t="str">
        <f t="shared" si="150"/>
        <v>-</v>
      </c>
      <c r="AV338" s="86" t="str">
        <f t="shared" si="151"/>
        <v>-</v>
      </c>
      <c r="AW338" s="86" t="str">
        <f t="shared" si="152"/>
        <v>-</v>
      </c>
      <c r="AX338" s="86" t="str">
        <f t="shared" si="153"/>
        <v>-</v>
      </c>
      <c r="AY338" s="86" t="str">
        <f t="shared" si="154"/>
        <v>-</v>
      </c>
      <c r="AZ338" s="86" t="str">
        <f t="shared" si="155"/>
        <v>-</v>
      </c>
      <c r="BA338" s="86" t="str">
        <f t="shared" si="156"/>
        <v>-</v>
      </c>
      <c r="BB338" s="86" t="str">
        <f t="shared" si="157"/>
        <v>-</v>
      </c>
      <c r="BC338" s="86" t="str">
        <f t="shared" si="158"/>
        <v>-</v>
      </c>
      <c r="BD338" s="86" t="str">
        <f t="shared" si="159"/>
        <v>-</v>
      </c>
      <c r="BE338" s="86" t="str">
        <f t="shared" si="160"/>
        <v>-</v>
      </c>
      <c r="BF338" s="86" t="str">
        <f t="shared" si="161"/>
        <v>-</v>
      </c>
    </row>
    <row r="339" spans="1:58" x14ac:dyDescent="0.2">
      <c r="A339" s="19" t="s">
        <v>1144</v>
      </c>
      <c r="B339" s="19" t="s">
        <v>76</v>
      </c>
      <c r="C339" s="19">
        <v>12471311</v>
      </c>
      <c r="D339" s="81">
        <v>0</v>
      </c>
      <c r="E339" s="19" t="s">
        <v>1158</v>
      </c>
      <c r="F339" s="19" t="s">
        <v>1675</v>
      </c>
      <c r="G339" s="19" t="s">
        <v>1676</v>
      </c>
      <c r="H339" s="19" t="s">
        <v>1033</v>
      </c>
      <c r="I339" s="19" t="s">
        <v>662</v>
      </c>
      <c r="J339" s="19">
        <v>80</v>
      </c>
      <c r="K339" s="19" t="s">
        <v>563</v>
      </c>
      <c r="L339" s="19" t="s">
        <v>502</v>
      </c>
      <c r="M339" s="19" t="s">
        <v>16</v>
      </c>
      <c r="N339" s="19">
        <v>45743</v>
      </c>
      <c r="O339" s="19">
        <v>30</v>
      </c>
      <c r="P339" s="81">
        <v>1</v>
      </c>
      <c r="Q339" s="19" t="s">
        <v>23</v>
      </c>
      <c r="R339" s="19" t="s">
        <v>11</v>
      </c>
      <c r="S339" s="19" t="s">
        <v>23</v>
      </c>
      <c r="T339" s="19">
        <v>30</v>
      </c>
      <c r="U339" s="19" t="s">
        <v>11</v>
      </c>
      <c r="V339" s="19" t="s">
        <v>11</v>
      </c>
      <c r="W339" s="19" t="s">
        <v>19</v>
      </c>
      <c r="X339" s="19">
        <v>3251529</v>
      </c>
      <c r="Y339" s="19" t="s">
        <v>735</v>
      </c>
      <c r="Z339" s="19">
        <v>30</v>
      </c>
      <c r="AA339" s="19">
        <v>3251529</v>
      </c>
      <c r="AB339" s="19">
        <v>3251529</v>
      </c>
      <c r="AC339" s="178" t="str">
        <f>IF(OR(M339="13",M339="14",P339=8),"",IF(AND(OR(S339="AUTORIZADO", S339="PENDIENTE", S339="REDUCIDO", S339="AMPLIADO"),L339&lt;&gt;"HONORARIO" ), CONCATENATE(IF(H339="X","H",H339),"_",IF(OR(P339=5,P339=6),_xlfn.CONCAT(P339,"A"),P339),"_",VLOOKUP(T339,Datos!$B$2:$C$5,2,TRUE)),""))</f>
        <v>M_1_[11 +]</v>
      </c>
      <c r="AD339" s="178">
        <f t="shared" si="135"/>
        <v>6503058</v>
      </c>
      <c r="AE339" s="82" t="str">
        <f t="shared" si="136"/>
        <v>-</v>
      </c>
      <c r="AF339" s="83" t="str">
        <f t="shared" si="137"/>
        <v>070601</v>
      </c>
      <c r="AG339" s="84"/>
      <c r="AH339" s="85" t="str">
        <f t="shared" si="138"/>
        <v>Corporación de Fomento de la Producción</v>
      </c>
      <c r="AI339" s="82" t="str">
        <f t="shared" si="139"/>
        <v>-</v>
      </c>
      <c r="AJ339" s="82">
        <f t="shared" si="140"/>
        <v>0</v>
      </c>
      <c r="AK339" s="82" t="str">
        <f t="shared" si="141"/>
        <v>-</v>
      </c>
      <c r="AL339" s="82" t="str">
        <f t="shared" si="142"/>
        <v>Identifica este registro como MUJER</v>
      </c>
      <c r="AM339" s="82" t="str">
        <f t="shared" si="143"/>
        <v>-</v>
      </c>
      <c r="AN339" s="82" t="str">
        <f t="shared" si="144"/>
        <v>-</v>
      </c>
      <c r="AO339" s="82" t="str">
        <f t="shared" si="145"/>
        <v>-</v>
      </c>
      <c r="AP339" s="57" t="str">
        <f t="shared" si="146"/>
        <v>-</v>
      </c>
      <c r="AQ339" s="86" t="str">
        <f t="shared" si="147"/>
        <v>-</v>
      </c>
      <c r="AR339" s="86" t="str">
        <f>IF(N339="","PRIMER_DIA en blanco",
IF(AND(M339="01",N339&gt;=L_Conversion!$C$118,N339&lt;=L_Conversion!$D$118),"-",
IF(AND(M339="02",N339&gt;=L_Conversion!$C$119,N339&lt;=L_Conversion!$D$119),"-",
IF(AND(M339="03",N339&gt;=L_Conversion!$C$120,N339&lt;=L_Conversion!$D$120),"-",
IF(AND(M339="04",N339&gt;=L_Conversion!$C$121,N339&lt;=L_Conversion!$D$121),"-",
IF(AND(M339="05",N339&gt;=L_Conversion!$C$122,N339&lt;=L_Conversion!$D$122),"-",
IF(AND(M339="06",N339&gt;=L_Conversion!$C$123,N339&lt;=L_Conversion!$D$123),"-",
IF(AND(M339="07",N339&gt;=L_Conversion!$C$124,N339&lt;=L_Conversion!$D$124),"-",
IF(AND(M339="08",N339&gt;=L_Conversion!$C$125,N339&lt;=L_Conversion!$D$125),"-",
IF(AND(M339="09",N339&gt;=L_Conversion!$C$126,N339&lt;=L_Conversion!$D$126),"-",
IF(AND(M339="10",N339&gt;=L_Conversion!$C$127,N339&lt;=L_Conversion!$D$127),"-",
IF(AND(M339="11",N339&gt;=L_Conversion!$C$128,N339&lt;=L_Conversion!$D$128),"-",
IF(AND(M339="12",N339&gt;=L_Conversion!$C$129,N339&lt;=L_Conversion!$D$129),"-",
IF(AND(M339="13",N339&gt;=L_Conversion!$C$116,N339&lt;=L_Conversion!$D$116),"-",
IF(AND(M339="14",N339&gt;=L_Conversion!$C$117,N339&lt;=L_Conversion!$D$117),"-",
"PRIMER_DIA fuera de rango")))))))))))))))</f>
        <v>-</v>
      </c>
      <c r="AS339" s="86" t="str">
        <f t="shared" si="148"/>
        <v>-</v>
      </c>
      <c r="AT339" s="86" t="str">
        <f t="shared" si="149"/>
        <v>-</v>
      </c>
      <c r="AU339" s="86" t="str">
        <f t="shared" si="150"/>
        <v>-</v>
      </c>
      <c r="AV339" s="86" t="str">
        <f t="shared" si="151"/>
        <v>-</v>
      </c>
      <c r="AW339" s="86" t="str">
        <f t="shared" si="152"/>
        <v>-</v>
      </c>
      <c r="AX339" s="86" t="str">
        <f t="shared" si="153"/>
        <v>-</v>
      </c>
      <c r="AY339" s="86" t="str">
        <f t="shared" si="154"/>
        <v>-</v>
      </c>
      <c r="AZ339" s="86" t="str">
        <f t="shared" si="155"/>
        <v>-</v>
      </c>
      <c r="BA339" s="86" t="str">
        <f t="shared" si="156"/>
        <v>-</v>
      </c>
      <c r="BB339" s="86" t="str">
        <f t="shared" si="157"/>
        <v>-</v>
      </c>
      <c r="BC339" s="86" t="str">
        <f t="shared" si="158"/>
        <v>-</v>
      </c>
      <c r="BD339" s="86" t="str">
        <f t="shared" si="159"/>
        <v>-</v>
      </c>
      <c r="BE339" s="86" t="str">
        <f t="shared" si="160"/>
        <v>-</v>
      </c>
      <c r="BF339" s="86" t="str">
        <f t="shared" si="161"/>
        <v>-</v>
      </c>
    </row>
    <row r="340" spans="1:58" x14ac:dyDescent="0.2">
      <c r="A340" s="19" t="s">
        <v>1144</v>
      </c>
      <c r="B340" s="19" t="s">
        <v>76</v>
      </c>
      <c r="C340" s="19">
        <v>10912720</v>
      </c>
      <c r="D340" s="81">
        <v>5</v>
      </c>
      <c r="E340" s="19" t="s">
        <v>1368</v>
      </c>
      <c r="F340" s="19" t="s">
        <v>1369</v>
      </c>
      <c r="G340" s="19" t="s">
        <v>1370</v>
      </c>
      <c r="H340" s="19" t="s">
        <v>1033</v>
      </c>
      <c r="I340" s="19" t="s">
        <v>662</v>
      </c>
      <c r="J340" s="19">
        <v>80</v>
      </c>
      <c r="K340" s="19" t="s">
        <v>563</v>
      </c>
      <c r="L340" s="19" t="s">
        <v>502</v>
      </c>
      <c r="M340" s="19" t="s">
        <v>16</v>
      </c>
      <c r="N340" s="19">
        <v>45744</v>
      </c>
      <c r="O340" s="19">
        <v>1</v>
      </c>
      <c r="P340" s="81">
        <v>1</v>
      </c>
      <c r="Q340" s="19" t="s">
        <v>23</v>
      </c>
      <c r="R340" s="19" t="s">
        <v>11</v>
      </c>
      <c r="S340" s="19" t="s">
        <v>23</v>
      </c>
      <c r="T340" s="19">
        <v>1</v>
      </c>
      <c r="U340" s="19" t="s">
        <v>11</v>
      </c>
      <c r="V340" s="19" t="s">
        <v>19</v>
      </c>
      <c r="W340" s="19" t="s">
        <v>19</v>
      </c>
      <c r="X340" s="19">
        <v>24138</v>
      </c>
      <c r="Y340" s="19" t="s">
        <v>735</v>
      </c>
      <c r="Z340" s="19">
        <v>1</v>
      </c>
      <c r="AA340" s="19">
        <v>24138</v>
      </c>
      <c r="AB340" s="19">
        <v>24138</v>
      </c>
      <c r="AC340" s="178" t="str">
        <f>IF(OR(M340="13",M340="14",P340=8),"",IF(AND(OR(S340="AUTORIZADO", S340="PENDIENTE", S340="REDUCIDO", S340="AMPLIADO"),L340&lt;&gt;"HONORARIO" ), CONCATENATE(IF(H340="X","H",H340),"_",IF(OR(P340=5,P340=6),_xlfn.CONCAT(P340,"A"),P340),"_",VLOOKUP(T340,Datos!$B$2:$C$5,2,TRUE)),""))</f>
        <v>M_1_[hasta 3]</v>
      </c>
      <c r="AD340" s="178">
        <f t="shared" si="135"/>
        <v>48276</v>
      </c>
      <c r="AE340" s="82" t="str">
        <f t="shared" si="136"/>
        <v>-</v>
      </c>
      <c r="AF340" s="83" t="str">
        <f t="shared" si="137"/>
        <v>070601</v>
      </c>
      <c r="AG340" s="84"/>
      <c r="AH340" s="85" t="str">
        <f t="shared" si="138"/>
        <v>Corporación de Fomento de la Producción</v>
      </c>
      <c r="AI340" s="82" t="str">
        <f t="shared" si="139"/>
        <v>-</v>
      </c>
      <c r="AJ340" s="82">
        <f t="shared" si="140"/>
        <v>5</v>
      </c>
      <c r="AK340" s="82" t="str">
        <f t="shared" si="141"/>
        <v>-</v>
      </c>
      <c r="AL340" s="82" t="str">
        <f t="shared" si="142"/>
        <v>Identifica este registro como MUJER</v>
      </c>
      <c r="AM340" s="82" t="str">
        <f t="shared" si="143"/>
        <v>-</v>
      </c>
      <c r="AN340" s="82" t="str">
        <f t="shared" si="144"/>
        <v>-</v>
      </c>
      <c r="AO340" s="82" t="str">
        <f t="shared" si="145"/>
        <v>-</v>
      </c>
      <c r="AP340" s="57" t="str">
        <f t="shared" si="146"/>
        <v>-</v>
      </c>
      <c r="AQ340" s="86" t="str">
        <f t="shared" si="147"/>
        <v>-</v>
      </c>
      <c r="AR340" s="86" t="str">
        <f>IF(N340="","PRIMER_DIA en blanco",
IF(AND(M340="01",N340&gt;=L_Conversion!$C$118,N340&lt;=L_Conversion!$D$118),"-",
IF(AND(M340="02",N340&gt;=L_Conversion!$C$119,N340&lt;=L_Conversion!$D$119),"-",
IF(AND(M340="03",N340&gt;=L_Conversion!$C$120,N340&lt;=L_Conversion!$D$120),"-",
IF(AND(M340="04",N340&gt;=L_Conversion!$C$121,N340&lt;=L_Conversion!$D$121),"-",
IF(AND(M340="05",N340&gt;=L_Conversion!$C$122,N340&lt;=L_Conversion!$D$122),"-",
IF(AND(M340="06",N340&gt;=L_Conversion!$C$123,N340&lt;=L_Conversion!$D$123),"-",
IF(AND(M340="07",N340&gt;=L_Conversion!$C$124,N340&lt;=L_Conversion!$D$124),"-",
IF(AND(M340="08",N340&gt;=L_Conversion!$C$125,N340&lt;=L_Conversion!$D$125),"-",
IF(AND(M340="09",N340&gt;=L_Conversion!$C$126,N340&lt;=L_Conversion!$D$126),"-",
IF(AND(M340="10",N340&gt;=L_Conversion!$C$127,N340&lt;=L_Conversion!$D$127),"-",
IF(AND(M340="11",N340&gt;=L_Conversion!$C$128,N340&lt;=L_Conversion!$D$128),"-",
IF(AND(M340="12",N340&gt;=L_Conversion!$C$129,N340&lt;=L_Conversion!$D$129),"-",
IF(AND(M340="13",N340&gt;=L_Conversion!$C$116,N340&lt;=L_Conversion!$D$116),"-",
IF(AND(M340="14",N340&gt;=L_Conversion!$C$117,N340&lt;=L_Conversion!$D$117),"-",
"PRIMER_DIA fuera de rango")))))))))))))))</f>
        <v>-</v>
      </c>
      <c r="AS340" s="86" t="str">
        <f t="shared" si="148"/>
        <v>-</v>
      </c>
      <c r="AT340" s="86" t="str">
        <f t="shared" si="149"/>
        <v>-</v>
      </c>
      <c r="AU340" s="86" t="str">
        <f t="shared" si="150"/>
        <v>-</v>
      </c>
      <c r="AV340" s="86" t="str">
        <f t="shared" si="151"/>
        <v>-</v>
      </c>
      <c r="AW340" s="86" t="str">
        <f t="shared" si="152"/>
        <v>-</v>
      </c>
      <c r="AX340" s="86" t="str">
        <f t="shared" si="153"/>
        <v>-</v>
      </c>
      <c r="AY340" s="86" t="str">
        <f t="shared" si="154"/>
        <v>-</v>
      </c>
      <c r="AZ340" s="86" t="str">
        <f t="shared" si="155"/>
        <v>-</v>
      </c>
      <c r="BA340" s="86" t="str">
        <f t="shared" si="156"/>
        <v>-</v>
      </c>
      <c r="BB340" s="86" t="str">
        <f t="shared" si="157"/>
        <v>-</v>
      </c>
      <c r="BC340" s="86" t="str">
        <f t="shared" si="158"/>
        <v>-</v>
      </c>
      <c r="BD340" s="86" t="str">
        <f t="shared" si="159"/>
        <v>-</v>
      </c>
      <c r="BE340" s="86" t="str">
        <f t="shared" si="160"/>
        <v>-</v>
      </c>
      <c r="BF340" s="86" t="str">
        <f t="shared" si="161"/>
        <v>-</v>
      </c>
    </row>
    <row r="341" spans="1:58" x14ac:dyDescent="0.2">
      <c r="A341" s="19" t="s">
        <v>1144</v>
      </c>
      <c r="B341" s="19" t="s">
        <v>76</v>
      </c>
      <c r="C341" s="19">
        <v>16532452</v>
      </c>
      <c r="D341" s="81">
        <v>8</v>
      </c>
      <c r="E341" s="19" t="s">
        <v>1599</v>
      </c>
      <c r="F341" s="19" t="s">
        <v>1600</v>
      </c>
      <c r="G341" s="19" t="s">
        <v>1601</v>
      </c>
      <c r="H341" s="19" t="s">
        <v>1033</v>
      </c>
      <c r="I341" s="19" t="s">
        <v>662</v>
      </c>
      <c r="J341" s="19">
        <v>80</v>
      </c>
      <c r="K341" s="19" t="s">
        <v>563</v>
      </c>
      <c r="L341" s="19" t="s">
        <v>502</v>
      </c>
      <c r="M341" s="19" t="s">
        <v>16</v>
      </c>
      <c r="N341" s="19">
        <v>45744</v>
      </c>
      <c r="O341" s="19">
        <v>30</v>
      </c>
      <c r="P341" s="81">
        <v>1</v>
      </c>
      <c r="Q341" s="19" t="s">
        <v>23</v>
      </c>
      <c r="R341" s="19" t="s">
        <v>11</v>
      </c>
      <c r="S341" s="19" t="s">
        <v>23</v>
      </c>
      <c r="T341" s="19">
        <v>30</v>
      </c>
      <c r="U341" s="19" t="s">
        <v>11</v>
      </c>
      <c r="V341" s="19" t="s">
        <v>11</v>
      </c>
      <c r="W341" s="19" t="s">
        <v>19</v>
      </c>
      <c r="X341" s="19">
        <v>3243394</v>
      </c>
      <c r="Y341" s="19" t="s">
        <v>735</v>
      </c>
      <c r="Z341" s="19">
        <v>30</v>
      </c>
      <c r="AA341" s="19">
        <v>3243394</v>
      </c>
      <c r="AB341" s="19">
        <v>3243394</v>
      </c>
      <c r="AC341" s="178" t="str">
        <f>IF(OR(M341="13",M341="14",P341=8),"",IF(AND(OR(S341="AUTORIZADO", S341="PENDIENTE", S341="REDUCIDO", S341="AMPLIADO"),L341&lt;&gt;"HONORARIO" ), CONCATENATE(IF(H341="X","H",H341),"_",IF(OR(P341=5,P341=6),_xlfn.CONCAT(P341,"A"),P341),"_",VLOOKUP(T341,Datos!$B$2:$C$5,2,TRUE)),""))</f>
        <v>M_1_[11 +]</v>
      </c>
      <c r="AD341" s="178">
        <f t="shared" si="135"/>
        <v>6486788</v>
      </c>
      <c r="AE341" s="82" t="str">
        <f t="shared" si="136"/>
        <v>-</v>
      </c>
      <c r="AF341" s="83" t="str">
        <f t="shared" si="137"/>
        <v>070601</v>
      </c>
      <c r="AG341" s="84"/>
      <c r="AH341" s="85" t="str">
        <f t="shared" si="138"/>
        <v>Corporación de Fomento de la Producción</v>
      </c>
      <c r="AI341" s="82" t="str">
        <f t="shared" si="139"/>
        <v>-</v>
      </c>
      <c r="AJ341" s="82">
        <f t="shared" si="140"/>
        <v>8</v>
      </c>
      <c r="AK341" s="82" t="str">
        <f t="shared" si="141"/>
        <v>-</v>
      </c>
      <c r="AL341" s="82" t="str">
        <f t="shared" si="142"/>
        <v>Identifica este registro como MUJER</v>
      </c>
      <c r="AM341" s="82" t="str">
        <f t="shared" si="143"/>
        <v>-</v>
      </c>
      <c r="AN341" s="82" t="str">
        <f t="shared" si="144"/>
        <v>-</v>
      </c>
      <c r="AO341" s="82" t="str">
        <f t="shared" si="145"/>
        <v>-</v>
      </c>
      <c r="AP341" s="57" t="str">
        <f t="shared" si="146"/>
        <v>-</v>
      </c>
      <c r="AQ341" s="86" t="str">
        <f t="shared" si="147"/>
        <v>-</v>
      </c>
      <c r="AR341" s="86" t="str">
        <f>IF(N341="","PRIMER_DIA en blanco",
IF(AND(M341="01",N341&gt;=L_Conversion!$C$118,N341&lt;=L_Conversion!$D$118),"-",
IF(AND(M341="02",N341&gt;=L_Conversion!$C$119,N341&lt;=L_Conversion!$D$119),"-",
IF(AND(M341="03",N341&gt;=L_Conversion!$C$120,N341&lt;=L_Conversion!$D$120),"-",
IF(AND(M341="04",N341&gt;=L_Conversion!$C$121,N341&lt;=L_Conversion!$D$121),"-",
IF(AND(M341="05",N341&gt;=L_Conversion!$C$122,N341&lt;=L_Conversion!$D$122),"-",
IF(AND(M341="06",N341&gt;=L_Conversion!$C$123,N341&lt;=L_Conversion!$D$123),"-",
IF(AND(M341="07",N341&gt;=L_Conversion!$C$124,N341&lt;=L_Conversion!$D$124),"-",
IF(AND(M341="08",N341&gt;=L_Conversion!$C$125,N341&lt;=L_Conversion!$D$125),"-",
IF(AND(M341="09",N341&gt;=L_Conversion!$C$126,N341&lt;=L_Conversion!$D$126),"-",
IF(AND(M341="10",N341&gt;=L_Conversion!$C$127,N341&lt;=L_Conversion!$D$127),"-",
IF(AND(M341="11",N341&gt;=L_Conversion!$C$128,N341&lt;=L_Conversion!$D$128),"-",
IF(AND(M341="12",N341&gt;=L_Conversion!$C$129,N341&lt;=L_Conversion!$D$129),"-",
IF(AND(M341="13",N341&gt;=L_Conversion!$C$116,N341&lt;=L_Conversion!$D$116),"-",
IF(AND(M341="14",N341&gt;=L_Conversion!$C$117,N341&lt;=L_Conversion!$D$117),"-",
"PRIMER_DIA fuera de rango")))))))))))))))</f>
        <v>-</v>
      </c>
      <c r="AS341" s="86" t="str">
        <f t="shared" si="148"/>
        <v>-</v>
      </c>
      <c r="AT341" s="86" t="str">
        <f t="shared" si="149"/>
        <v>-</v>
      </c>
      <c r="AU341" s="86" t="str">
        <f t="shared" si="150"/>
        <v>-</v>
      </c>
      <c r="AV341" s="86" t="str">
        <f t="shared" si="151"/>
        <v>-</v>
      </c>
      <c r="AW341" s="86" t="str">
        <f t="shared" si="152"/>
        <v>-</v>
      </c>
      <c r="AX341" s="86" t="str">
        <f t="shared" si="153"/>
        <v>-</v>
      </c>
      <c r="AY341" s="86" t="str">
        <f t="shared" si="154"/>
        <v>-</v>
      </c>
      <c r="AZ341" s="86" t="str">
        <f t="shared" si="155"/>
        <v>-</v>
      </c>
      <c r="BA341" s="86" t="str">
        <f t="shared" si="156"/>
        <v>-</v>
      </c>
      <c r="BB341" s="86" t="str">
        <f t="shared" si="157"/>
        <v>-</v>
      </c>
      <c r="BC341" s="86" t="str">
        <f t="shared" si="158"/>
        <v>-</v>
      </c>
      <c r="BD341" s="86" t="str">
        <f t="shared" si="159"/>
        <v>-</v>
      </c>
      <c r="BE341" s="86" t="str">
        <f t="shared" si="160"/>
        <v>-</v>
      </c>
      <c r="BF341" s="86" t="str">
        <f t="shared" si="161"/>
        <v>-</v>
      </c>
    </row>
    <row r="342" spans="1:58" x14ac:dyDescent="0.2">
      <c r="A342" s="19" t="s">
        <v>1144</v>
      </c>
      <c r="B342" s="19" t="s">
        <v>76</v>
      </c>
      <c r="C342" s="19">
        <v>15375340</v>
      </c>
      <c r="D342" s="81">
        <v>7</v>
      </c>
      <c r="E342" s="19" t="s">
        <v>1241</v>
      </c>
      <c r="F342" s="19" t="s">
        <v>1242</v>
      </c>
      <c r="G342" s="19" t="s">
        <v>1243</v>
      </c>
      <c r="H342" s="19" t="s">
        <v>1033</v>
      </c>
      <c r="I342" s="19" t="s">
        <v>662</v>
      </c>
      <c r="J342" s="19">
        <v>80</v>
      </c>
      <c r="K342" s="19" t="s">
        <v>563</v>
      </c>
      <c r="L342" s="19" t="s">
        <v>502</v>
      </c>
      <c r="M342" s="19" t="s">
        <v>16</v>
      </c>
      <c r="N342" s="19">
        <v>45744</v>
      </c>
      <c r="O342" s="19">
        <v>84</v>
      </c>
      <c r="P342" s="81">
        <v>3</v>
      </c>
      <c r="Q342" s="19" t="s">
        <v>23</v>
      </c>
      <c r="R342" s="19" t="s">
        <v>11</v>
      </c>
      <c r="S342" s="19" t="s">
        <v>23</v>
      </c>
      <c r="T342" s="19">
        <v>84</v>
      </c>
      <c r="U342" s="19" t="s">
        <v>11</v>
      </c>
      <c r="V342" s="19" t="s">
        <v>11</v>
      </c>
      <c r="W342" s="19" t="s">
        <v>19</v>
      </c>
      <c r="X342" s="19">
        <v>2153592</v>
      </c>
      <c r="Y342" s="19" t="s">
        <v>735</v>
      </c>
      <c r="Z342" s="19">
        <v>84</v>
      </c>
      <c r="AA342" s="19">
        <v>2153592</v>
      </c>
      <c r="AB342" s="19">
        <v>2153592</v>
      </c>
      <c r="AC342" s="178" t="str">
        <f>IF(OR(M342="13",M342="14",P342=8),"",IF(AND(OR(S342="AUTORIZADO", S342="PENDIENTE", S342="REDUCIDO", S342="AMPLIADO"),L342&lt;&gt;"HONORARIO" ), CONCATENATE(IF(H342="X","H",H342),"_",IF(OR(P342=5,P342=6),_xlfn.CONCAT(P342,"A"),P342),"_",VLOOKUP(T342,Datos!$B$2:$C$5,2,TRUE)),""))</f>
        <v>M_3_[11 +]</v>
      </c>
      <c r="AD342" s="178">
        <f t="shared" si="135"/>
        <v>4307184</v>
      </c>
      <c r="AE342" s="82" t="str">
        <f t="shared" si="136"/>
        <v>-</v>
      </c>
      <c r="AF342" s="83" t="str">
        <f t="shared" si="137"/>
        <v>070601</v>
      </c>
      <c r="AG342" s="84"/>
      <c r="AH342" s="85" t="str">
        <f t="shared" si="138"/>
        <v>Corporación de Fomento de la Producción</v>
      </c>
      <c r="AI342" s="82" t="str">
        <f t="shared" si="139"/>
        <v>-</v>
      </c>
      <c r="AJ342" s="82">
        <f t="shared" si="140"/>
        <v>7</v>
      </c>
      <c r="AK342" s="82" t="str">
        <f t="shared" si="141"/>
        <v>-</v>
      </c>
      <c r="AL342" s="82" t="str">
        <f t="shared" si="142"/>
        <v>Identifica este registro como MUJER</v>
      </c>
      <c r="AM342" s="82" t="str">
        <f t="shared" si="143"/>
        <v>-</v>
      </c>
      <c r="AN342" s="82" t="str">
        <f t="shared" si="144"/>
        <v>-</v>
      </c>
      <c r="AO342" s="82" t="str">
        <f t="shared" si="145"/>
        <v>-</v>
      </c>
      <c r="AP342" s="57" t="str">
        <f t="shared" si="146"/>
        <v>-</v>
      </c>
      <c r="AQ342" s="86" t="str">
        <f t="shared" si="147"/>
        <v>-</v>
      </c>
      <c r="AR342" s="86" t="str">
        <f>IF(N342="","PRIMER_DIA en blanco",
IF(AND(M342="01",N342&gt;=L_Conversion!$C$118,N342&lt;=L_Conversion!$D$118),"-",
IF(AND(M342="02",N342&gt;=L_Conversion!$C$119,N342&lt;=L_Conversion!$D$119),"-",
IF(AND(M342="03",N342&gt;=L_Conversion!$C$120,N342&lt;=L_Conversion!$D$120),"-",
IF(AND(M342="04",N342&gt;=L_Conversion!$C$121,N342&lt;=L_Conversion!$D$121),"-",
IF(AND(M342="05",N342&gt;=L_Conversion!$C$122,N342&lt;=L_Conversion!$D$122),"-",
IF(AND(M342="06",N342&gt;=L_Conversion!$C$123,N342&lt;=L_Conversion!$D$123),"-",
IF(AND(M342="07",N342&gt;=L_Conversion!$C$124,N342&lt;=L_Conversion!$D$124),"-",
IF(AND(M342="08",N342&gt;=L_Conversion!$C$125,N342&lt;=L_Conversion!$D$125),"-",
IF(AND(M342="09",N342&gt;=L_Conversion!$C$126,N342&lt;=L_Conversion!$D$126),"-",
IF(AND(M342="10",N342&gt;=L_Conversion!$C$127,N342&lt;=L_Conversion!$D$127),"-",
IF(AND(M342="11",N342&gt;=L_Conversion!$C$128,N342&lt;=L_Conversion!$D$128),"-",
IF(AND(M342="12",N342&gt;=L_Conversion!$C$129,N342&lt;=L_Conversion!$D$129),"-",
IF(AND(M342="13",N342&gt;=L_Conversion!$C$116,N342&lt;=L_Conversion!$D$116),"-",
IF(AND(M342="14",N342&gt;=L_Conversion!$C$117,N342&lt;=L_Conversion!$D$117),"-",
"PRIMER_DIA fuera de rango")))))))))))))))</f>
        <v>-</v>
      </c>
      <c r="AS342" s="86" t="str">
        <f t="shared" si="148"/>
        <v>-</v>
      </c>
      <c r="AT342" s="86" t="str">
        <f t="shared" si="149"/>
        <v>-</v>
      </c>
      <c r="AU342" s="86" t="str">
        <f t="shared" si="150"/>
        <v>-</v>
      </c>
      <c r="AV342" s="86" t="str">
        <f t="shared" si="151"/>
        <v>-</v>
      </c>
      <c r="AW342" s="86" t="str">
        <f t="shared" si="152"/>
        <v>-</v>
      </c>
      <c r="AX342" s="86" t="str">
        <f t="shared" si="153"/>
        <v>-</v>
      </c>
      <c r="AY342" s="86" t="str">
        <f t="shared" si="154"/>
        <v>-</v>
      </c>
      <c r="AZ342" s="86" t="str">
        <f t="shared" si="155"/>
        <v>-</v>
      </c>
      <c r="BA342" s="86" t="str">
        <f t="shared" si="156"/>
        <v>-</v>
      </c>
      <c r="BB342" s="86" t="str">
        <f t="shared" si="157"/>
        <v>-</v>
      </c>
      <c r="BC342" s="86" t="str">
        <f t="shared" si="158"/>
        <v>-</v>
      </c>
      <c r="BD342" s="86" t="str">
        <f t="shared" si="159"/>
        <v>-</v>
      </c>
      <c r="BE342" s="86" t="str">
        <f t="shared" si="160"/>
        <v>-</v>
      </c>
      <c r="BF342" s="86" t="str">
        <f t="shared" si="161"/>
        <v>-</v>
      </c>
    </row>
    <row r="343" spans="1:58" x14ac:dyDescent="0.2">
      <c r="A343" s="19" t="s">
        <v>1144</v>
      </c>
      <c r="B343" s="19" t="s">
        <v>76</v>
      </c>
      <c r="C343" s="19">
        <v>10721671</v>
      </c>
      <c r="D343" s="81">
        <v>5</v>
      </c>
      <c r="E343" s="19" t="s">
        <v>1580</v>
      </c>
      <c r="F343" s="19" t="s">
        <v>1207</v>
      </c>
      <c r="G343" s="19" t="s">
        <v>1581</v>
      </c>
      <c r="H343" s="19" t="s">
        <v>1033</v>
      </c>
      <c r="I343" s="19" t="s">
        <v>662</v>
      </c>
      <c r="J343" s="19">
        <v>80</v>
      </c>
      <c r="K343" s="19" t="s">
        <v>563</v>
      </c>
      <c r="L343" s="19" t="s">
        <v>502</v>
      </c>
      <c r="M343" s="19" t="s">
        <v>16</v>
      </c>
      <c r="N343" s="19">
        <v>45745</v>
      </c>
      <c r="O343" s="19">
        <v>21</v>
      </c>
      <c r="P343" s="81">
        <v>1</v>
      </c>
      <c r="Q343" s="19" t="s">
        <v>23</v>
      </c>
      <c r="R343" s="19" t="s">
        <v>11</v>
      </c>
      <c r="S343" s="19" t="s">
        <v>23</v>
      </c>
      <c r="T343" s="19">
        <v>21</v>
      </c>
      <c r="U343" s="19" t="s">
        <v>11</v>
      </c>
      <c r="V343" s="19" t="s">
        <v>11</v>
      </c>
      <c r="W343" s="19" t="s">
        <v>19</v>
      </c>
      <c r="X343" s="19">
        <v>1796142</v>
      </c>
      <c r="Y343" s="19" t="s">
        <v>735</v>
      </c>
      <c r="Z343" s="19">
        <v>21</v>
      </c>
      <c r="AA343" s="19">
        <v>1796142</v>
      </c>
      <c r="AB343" s="19">
        <v>1796142</v>
      </c>
      <c r="AC343" s="178" t="str">
        <f>IF(OR(M343="13",M343="14",P343=8),"",IF(AND(OR(S343="AUTORIZADO", S343="PENDIENTE", S343="REDUCIDO", S343="AMPLIADO"),L343&lt;&gt;"HONORARIO" ), CONCATENATE(IF(H343="X","H",H343),"_",IF(OR(P343=5,P343=6),_xlfn.CONCAT(P343,"A"),P343),"_",VLOOKUP(T343,Datos!$B$2:$C$5,2,TRUE)),""))</f>
        <v>M_1_[11 +]</v>
      </c>
      <c r="AD343" s="178">
        <f t="shared" si="135"/>
        <v>3592284</v>
      </c>
      <c r="AE343" s="82" t="str">
        <f t="shared" si="136"/>
        <v>-</v>
      </c>
      <c r="AF343" s="83" t="str">
        <f t="shared" si="137"/>
        <v>070601</v>
      </c>
      <c r="AG343" s="84"/>
      <c r="AH343" s="85" t="str">
        <f t="shared" si="138"/>
        <v>Corporación de Fomento de la Producción</v>
      </c>
      <c r="AI343" s="82" t="str">
        <f t="shared" si="139"/>
        <v>-</v>
      </c>
      <c r="AJ343" s="82">
        <f t="shared" si="140"/>
        <v>5</v>
      </c>
      <c r="AK343" s="82" t="str">
        <f t="shared" si="141"/>
        <v>-</v>
      </c>
      <c r="AL343" s="82" t="str">
        <f t="shared" si="142"/>
        <v>Identifica este registro como MUJER</v>
      </c>
      <c r="AM343" s="82" t="str">
        <f t="shared" si="143"/>
        <v>-</v>
      </c>
      <c r="AN343" s="82" t="str">
        <f t="shared" si="144"/>
        <v>-</v>
      </c>
      <c r="AO343" s="82" t="str">
        <f t="shared" si="145"/>
        <v>-</v>
      </c>
      <c r="AP343" s="57" t="str">
        <f t="shared" si="146"/>
        <v>-</v>
      </c>
      <c r="AQ343" s="86" t="str">
        <f t="shared" si="147"/>
        <v>-</v>
      </c>
      <c r="AR343" s="86" t="str">
        <f>IF(N343="","PRIMER_DIA en blanco",
IF(AND(M343="01",N343&gt;=L_Conversion!$C$118,N343&lt;=L_Conversion!$D$118),"-",
IF(AND(M343="02",N343&gt;=L_Conversion!$C$119,N343&lt;=L_Conversion!$D$119),"-",
IF(AND(M343="03",N343&gt;=L_Conversion!$C$120,N343&lt;=L_Conversion!$D$120),"-",
IF(AND(M343="04",N343&gt;=L_Conversion!$C$121,N343&lt;=L_Conversion!$D$121),"-",
IF(AND(M343="05",N343&gt;=L_Conversion!$C$122,N343&lt;=L_Conversion!$D$122),"-",
IF(AND(M343="06",N343&gt;=L_Conversion!$C$123,N343&lt;=L_Conversion!$D$123),"-",
IF(AND(M343="07",N343&gt;=L_Conversion!$C$124,N343&lt;=L_Conversion!$D$124),"-",
IF(AND(M343="08",N343&gt;=L_Conversion!$C$125,N343&lt;=L_Conversion!$D$125),"-",
IF(AND(M343="09",N343&gt;=L_Conversion!$C$126,N343&lt;=L_Conversion!$D$126),"-",
IF(AND(M343="10",N343&gt;=L_Conversion!$C$127,N343&lt;=L_Conversion!$D$127),"-",
IF(AND(M343="11",N343&gt;=L_Conversion!$C$128,N343&lt;=L_Conversion!$D$128),"-",
IF(AND(M343="12",N343&gt;=L_Conversion!$C$129,N343&lt;=L_Conversion!$D$129),"-",
IF(AND(M343="13",N343&gt;=L_Conversion!$C$116,N343&lt;=L_Conversion!$D$116),"-",
IF(AND(M343="14",N343&gt;=L_Conversion!$C$117,N343&lt;=L_Conversion!$D$117),"-",
"PRIMER_DIA fuera de rango")))))))))))))))</f>
        <v>-</v>
      </c>
      <c r="AS343" s="86" t="str">
        <f t="shared" si="148"/>
        <v>-</v>
      </c>
      <c r="AT343" s="86" t="str">
        <f t="shared" si="149"/>
        <v>-</v>
      </c>
      <c r="AU343" s="86" t="str">
        <f t="shared" si="150"/>
        <v>-</v>
      </c>
      <c r="AV343" s="86" t="str">
        <f t="shared" si="151"/>
        <v>-</v>
      </c>
      <c r="AW343" s="86" t="str">
        <f t="shared" si="152"/>
        <v>-</v>
      </c>
      <c r="AX343" s="86" t="str">
        <f t="shared" si="153"/>
        <v>-</v>
      </c>
      <c r="AY343" s="86" t="str">
        <f t="shared" si="154"/>
        <v>-</v>
      </c>
      <c r="AZ343" s="86" t="str">
        <f t="shared" si="155"/>
        <v>-</v>
      </c>
      <c r="BA343" s="86" t="str">
        <f t="shared" si="156"/>
        <v>-</v>
      </c>
      <c r="BB343" s="86" t="str">
        <f t="shared" si="157"/>
        <v>-</v>
      </c>
      <c r="BC343" s="86" t="str">
        <f t="shared" si="158"/>
        <v>-</v>
      </c>
      <c r="BD343" s="86" t="str">
        <f t="shared" si="159"/>
        <v>-</v>
      </c>
      <c r="BE343" s="86" t="str">
        <f t="shared" si="160"/>
        <v>-</v>
      </c>
      <c r="BF343" s="86" t="str">
        <f t="shared" si="161"/>
        <v>-</v>
      </c>
    </row>
    <row r="344" spans="1:58" x14ac:dyDescent="0.2">
      <c r="A344" s="19" t="s">
        <v>1144</v>
      </c>
      <c r="B344" s="19" t="s">
        <v>76</v>
      </c>
      <c r="C344" s="19">
        <v>8001291</v>
      </c>
      <c r="D344" s="81">
        <v>8</v>
      </c>
      <c r="E344" s="19" t="s">
        <v>1502</v>
      </c>
      <c r="F344" s="19" t="s">
        <v>1298</v>
      </c>
      <c r="G344" s="19" t="s">
        <v>1626</v>
      </c>
      <c r="H344" s="19" t="s">
        <v>663</v>
      </c>
      <c r="I344" s="19" t="s">
        <v>662</v>
      </c>
      <c r="J344" s="19">
        <v>60</v>
      </c>
      <c r="K344" s="19" t="s">
        <v>567</v>
      </c>
      <c r="L344" s="19" t="s">
        <v>497</v>
      </c>
      <c r="M344" s="19" t="s">
        <v>16</v>
      </c>
      <c r="N344" s="19">
        <v>45745</v>
      </c>
      <c r="O344" s="19">
        <v>5</v>
      </c>
      <c r="P344" s="81">
        <v>1</v>
      </c>
      <c r="Q344" s="19" t="s">
        <v>23</v>
      </c>
      <c r="R344" s="19" t="s">
        <v>11</v>
      </c>
      <c r="S344" s="19" t="s">
        <v>23</v>
      </c>
      <c r="T344" s="19">
        <v>5</v>
      </c>
      <c r="U344" s="19" t="s">
        <v>11</v>
      </c>
      <c r="V344" s="19" t="s">
        <v>11</v>
      </c>
      <c r="W344" s="19" t="s">
        <v>19</v>
      </c>
      <c r="X344" s="19">
        <v>199292</v>
      </c>
      <c r="Y344" s="19" t="s">
        <v>735</v>
      </c>
      <c r="Z344" s="19">
        <v>5</v>
      </c>
      <c r="AA344" s="19">
        <v>199292</v>
      </c>
      <c r="AB344" s="19">
        <v>199292</v>
      </c>
      <c r="AC344" s="178" t="str">
        <f>IF(OR(M344="13",M344="14",P344=8),"",IF(AND(OR(S344="AUTORIZADO", S344="PENDIENTE", S344="REDUCIDO", S344="AMPLIADO"),L344&lt;&gt;"HONORARIO" ), CONCATENATE(IF(H344="X","H",H344),"_",IF(OR(P344=5,P344=6),_xlfn.CONCAT(P344,"A"),P344),"_",VLOOKUP(T344,Datos!$B$2:$C$5,2,TRUE)),""))</f>
        <v>H_1_[4 a 10]</v>
      </c>
      <c r="AD344" s="178">
        <f t="shared" si="135"/>
        <v>398584</v>
      </c>
      <c r="AE344" s="82" t="str">
        <f t="shared" si="136"/>
        <v>-</v>
      </c>
      <c r="AF344" s="83" t="str">
        <f t="shared" si="137"/>
        <v>070601</v>
      </c>
      <c r="AG344" s="84"/>
      <c r="AH344" s="85" t="str">
        <f t="shared" si="138"/>
        <v>Corporación de Fomento de la Producción</v>
      </c>
      <c r="AI344" s="82" t="str">
        <f t="shared" si="139"/>
        <v>-</v>
      </c>
      <c r="AJ344" s="82">
        <f t="shared" si="140"/>
        <v>8</v>
      </c>
      <c r="AK344" s="82" t="str">
        <f t="shared" si="141"/>
        <v>-</v>
      </c>
      <c r="AL344" s="82" t="str">
        <f t="shared" si="142"/>
        <v>Identifica este registro como HOMBRE</v>
      </c>
      <c r="AM344" s="82" t="str">
        <f t="shared" si="143"/>
        <v>-</v>
      </c>
      <c r="AN344" s="82" t="str">
        <f t="shared" si="144"/>
        <v>-</v>
      </c>
      <c r="AO344" s="82" t="str">
        <f t="shared" si="145"/>
        <v>-</v>
      </c>
      <c r="AP344" s="57" t="str">
        <f t="shared" si="146"/>
        <v>-</v>
      </c>
      <c r="AQ344" s="86" t="str">
        <f t="shared" si="147"/>
        <v>-</v>
      </c>
      <c r="AR344" s="86" t="str">
        <f>IF(N344="","PRIMER_DIA en blanco",
IF(AND(M344="01",N344&gt;=L_Conversion!$C$118,N344&lt;=L_Conversion!$D$118),"-",
IF(AND(M344="02",N344&gt;=L_Conversion!$C$119,N344&lt;=L_Conversion!$D$119),"-",
IF(AND(M344="03",N344&gt;=L_Conversion!$C$120,N344&lt;=L_Conversion!$D$120),"-",
IF(AND(M344="04",N344&gt;=L_Conversion!$C$121,N344&lt;=L_Conversion!$D$121),"-",
IF(AND(M344="05",N344&gt;=L_Conversion!$C$122,N344&lt;=L_Conversion!$D$122),"-",
IF(AND(M344="06",N344&gt;=L_Conversion!$C$123,N344&lt;=L_Conversion!$D$123),"-",
IF(AND(M344="07",N344&gt;=L_Conversion!$C$124,N344&lt;=L_Conversion!$D$124),"-",
IF(AND(M344="08",N344&gt;=L_Conversion!$C$125,N344&lt;=L_Conversion!$D$125),"-",
IF(AND(M344="09",N344&gt;=L_Conversion!$C$126,N344&lt;=L_Conversion!$D$126),"-",
IF(AND(M344="10",N344&gt;=L_Conversion!$C$127,N344&lt;=L_Conversion!$D$127),"-",
IF(AND(M344="11",N344&gt;=L_Conversion!$C$128,N344&lt;=L_Conversion!$D$128),"-",
IF(AND(M344="12",N344&gt;=L_Conversion!$C$129,N344&lt;=L_Conversion!$D$129),"-",
IF(AND(M344="13",N344&gt;=L_Conversion!$C$116,N344&lt;=L_Conversion!$D$116),"-",
IF(AND(M344="14",N344&gt;=L_Conversion!$C$117,N344&lt;=L_Conversion!$D$117),"-",
"PRIMER_DIA fuera de rango")))))))))))))))</f>
        <v>-</v>
      </c>
      <c r="AS344" s="86" t="str">
        <f t="shared" si="148"/>
        <v>-</v>
      </c>
      <c r="AT344" s="86" t="str">
        <f t="shared" si="149"/>
        <v>-</v>
      </c>
      <c r="AU344" s="86" t="str">
        <f t="shared" si="150"/>
        <v>-</v>
      </c>
      <c r="AV344" s="86" t="str">
        <f t="shared" si="151"/>
        <v>-</v>
      </c>
      <c r="AW344" s="86" t="str">
        <f t="shared" si="152"/>
        <v>-</v>
      </c>
      <c r="AX344" s="86" t="str">
        <f t="shared" si="153"/>
        <v>-</v>
      </c>
      <c r="AY344" s="86" t="str">
        <f t="shared" si="154"/>
        <v>-</v>
      </c>
      <c r="AZ344" s="86" t="str">
        <f t="shared" si="155"/>
        <v>-</v>
      </c>
      <c r="BA344" s="86" t="str">
        <f t="shared" si="156"/>
        <v>-</v>
      </c>
      <c r="BB344" s="86" t="str">
        <f t="shared" si="157"/>
        <v>-</v>
      </c>
      <c r="BC344" s="86" t="str">
        <f t="shared" si="158"/>
        <v>-</v>
      </c>
      <c r="BD344" s="86" t="str">
        <f t="shared" si="159"/>
        <v>-</v>
      </c>
      <c r="BE344" s="86" t="str">
        <f t="shared" si="160"/>
        <v>-</v>
      </c>
      <c r="BF344" s="86" t="str">
        <f t="shared" si="161"/>
        <v>-</v>
      </c>
    </row>
    <row r="345" spans="1:58" x14ac:dyDescent="0.2">
      <c r="A345" s="19" t="s">
        <v>1144</v>
      </c>
      <c r="B345" s="19" t="s">
        <v>76</v>
      </c>
      <c r="C345" s="19">
        <v>9117458</v>
      </c>
      <c r="D345" s="81">
        <v>8</v>
      </c>
      <c r="E345" s="19" t="s">
        <v>1353</v>
      </c>
      <c r="F345" s="19" t="s">
        <v>1655</v>
      </c>
      <c r="G345" s="19" t="s">
        <v>1656</v>
      </c>
      <c r="H345" s="19" t="s">
        <v>663</v>
      </c>
      <c r="I345" s="19" t="s">
        <v>662</v>
      </c>
      <c r="J345" s="19">
        <v>60</v>
      </c>
      <c r="K345" s="19" t="s">
        <v>569</v>
      </c>
      <c r="L345" s="19" t="s">
        <v>497</v>
      </c>
      <c r="M345" s="19" t="s">
        <v>16</v>
      </c>
      <c r="N345" s="19">
        <v>45745</v>
      </c>
      <c r="O345" s="19">
        <v>7</v>
      </c>
      <c r="P345" s="81">
        <v>1</v>
      </c>
      <c r="Q345" s="19" t="s">
        <v>23</v>
      </c>
      <c r="R345" s="19" t="s">
        <v>11</v>
      </c>
      <c r="S345" s="19" t="s">
        <v>23</v>
      </c>
      <c r="T345" s="19">
        <v>7</v>
      </c>
      <c r="U345" s="19" t="s">
        <v>11</v>
      </c>
      <c r="V345" s="19" t="s">
        <v>11</v>
      </c>
      <c r="W345" s="19" t="s">
        <v>19</v>
      </c>
      <c r="X345" s="19">
        <v>164147</v>
      </c>
      <c r="Y345" s="19" t="s">
        <v>735</v>
      </c>
      <c r="Z345" s="19">
        <v>7</v>
      </c>
      <c r="AA345" s="19">
        <v>164147</v>
      </c>
      <c r="AB345" s="19">
        <v>164147</v>
      </c>
      <c r="AC345" s="178" t="str">
        <f>IF(OR(M345="13",M345="14",P345=8),"",IF(AND(OR(S345="AUTORIZADO", S345="PENDIENTE", S345="REDUCIDO", S345="AMPLIADO"),L345&lt;&gt;"HONORARIO" ), CONCATENATE(IF(H345="X","H",H345),"_",IF(OR(P345=5,P345=6),_xlfn.CONCAT(P345,"A"),P345),"_",VLOOKUP(T345,Datos!$B$2:$C$5,2,TRUE)),""))</f>
        <v>H_1_[4 a 10]</v>
      </c>
      <c r="AD345" s="178">
        <f t="shared" si="135"/>
        <v>328294</v>
      </c>
      <c r="AE345" s="82" t="str">
        <f t="shared" si="136"/>
        <v>-</v>
      </c>
      <c r="AF345" s="83" t="str">
        <f t="shared" si="137"/>
        <v>070601</v>
      </c>
      <c r="AG345" s="84"/>
      <c r="AH345" s="85" t="str">
        <f t="shared" si="138"/>
        <v>Corporación de Fomento de la Producción</v>
      </c>
      <c r="AI345" s="82" t="str">
        <f t="shared" si="139"/>
        <v>-</v>
      </c>
      <c r="AJ345" s="82">
        <f t="shared" si="140"/>
        <v>8</v>
      </c>
      <c r="AK345" s="82" t="str">
        <f t="shared" si="141"/>
        <v>-</v>
      </c>
      <c r="AL345" s="82" t="str">
        <f t="shared" si="142"/>
        <v>Identifica este registro como HOMBRE</v>
      </c>
      <c r="AM345" s="82" t="str">
        <f t="shared" si="143"/>
        <v>-</v>
      </c>
      <c r="AN345" s="82" t="str">
        <f t="shared" si="144"/>
        <v>-</v>
      </c>
      <c r="AO345" s="82" t="str">
        <f t="shared" si="145"/>
        <v>-</v>
      </c>
      <c r="AP345" s="57" t="str">
        <f t="shared" si="146"/>
        <v>-</v>
      </c>
      <c r="AQ345" s="86" t="str">
        <f t="shared" si="147"/>
        <v>-</v>
      </c>
      <c r="AR345" s="86" t="str">
        <f>IF(N345="","PRIMER_DIA en blanco",
IF(AND(M345="01",N345&gt;=L_Conversion!$C$118,N345&lt;=L_Conversion!$D$118),"-",
IF(AND(M345="02",N345&gt;=L_Conversion!$C$119,N345&lt;=L_Conversion!$D$119),"-",
IF(AND(M345="03",N345&gt;=L_Conversion!$C$120,N345&lt;=L_Conversion!$D$120),"-",
IF(AND(M345="04",N345&gt;=L_Conversion!$C$121,N345&lt;=L_Conversion!$D$121),"-",
IF(AND(M345="05",N345&gt;=L_Conversion!$C$122,N345&lt;=L_Conversion!$D$122),"-",
IF(AND(M345="06",N345&gt;=L_Conversion!$C$123,N345&lt;=L_Conversion!$D$123),"-",
IF(AND(M345="07",N345&gt;=L_Conversion!$C$124,N345&lt;=L_Conversion!$D$124),"-",
IF(AND(M345="08",N345&gt;=L_Conversion!$C$125,N345&lt;=L_Conversion!$D$125),"-",
IF(AND(M345="09",N345&gt;=L_Conversion!$C$126,N345&lt;=L_Conversion!$D$126),"-",
IF(AND(M345="10",N345&gt;=L_Conversion!$C$127,N345&lt;=L_Conversion!$D$127),"-",
IF(AND(M345="11",N345&gt;=L_Conversion!$C$128,N345&lt;=L_Conversion!$D$128),"-",
IF(AND(M345="12",N345&gt;=L_Conversion!$C$129,N345&lt;=L_Conversion!$D$129),"-",
IF(AND(M345="13",N345&gt;=L_Conversion!$C$116,N345&lt;=L_Conversion!$D$116),"-",
IF(AND(M345="14",N345&gt;=L_Conversion!$C$117,N345&lt;=L_Conversion!$D$117),"-",
"PRIMER_DIA fuera de rango")))))))))))))))</f>
        <v>-</v>
      </c>
      <c r="AS345" s="86" t="str">
        <f t="shared" si="148"/>
        <v>-</v>
      </c>
      <c r="AT345" s="86" t="str">
        <f t="shared" si="149"/>
        <v>-</v>
      </c>
      <c r="AU345" s="86" t="str">
        <f t="shared" si="150"/>
        <v>-</v>
      </c>
      <c r="AV345" s="86" t="str">
        <f t="shared" si="151"/>
        <v>-</v>
      </c>
      <c r="AW345" s="86" t="str">
        <f t="shared" si="152"/>
        <v>-</v>
      </c>
      <c r="AX345" s="86" t="str">
        <f t="shared" si="153"/>
        <v>-</v>
      </c>
      <c r="AY345" s="86" t="str">
        <f t="shared" si="154"/>
        <v>-</v>
      </c>
      <c r="AZ345" s="86" t="str">
        <f t="shared" si="155"/>
        <v>-</v>
      </c>
      <c r="BA345" s="86" t="str">
        <f t="shared" si="156"/>
        <v>-</v>
      </c>
      <c r="BB345" s="86" t="str">
        <f t="shared" si="157"/>
        <v>-</v>
      </c>
      <c r="BC345" s="86" t="str">
        <f t="shared" si="158"/>
        <v>-</v>
      </c>
      <c r="BD345" s="86" t="str">
        <f t="shared" si="159"/>
        <v>-</v>
      </c>
      <c r="BE345" s="86" t="str">
        <f t="shared" si="160"/>
        <v>-</v>
      </c>
      <c r="BF345" s="86" t="str">
        <f t="shared" si="161"/>
        <v>-</v>
      </c>
    </row>
    <row r="346" spans="1:58" x14ac:dyDescent="0.2">
      <c r="A346" s="19" t="s">
        <v>1144</v>
      </c>
      <c r="B346" s="19" t="s">
        <v>76</v>
      </c>
      <c r="C346" s="19">
        <v>10213912</v>
      </c>
      <c r="D346" s="81">
        <v>7</v>
      </c>
      <c r="E346" s="19" t="s">
        <v>1404</v>
      </c>
      <c r="F346" s="19" t="s">
        <v>1210</v>
      </c>
      <c r="G346" s="19" t="s">
        <v>1405</v>
      </c>
      <c r="H346" s="19" t="s">
        <v>1033</v>
      </c>
      <c r="I346" s="19" t="s">
        <v>662</v>
      </c>
      <c r="J346" s="19">
        <v>80</v>
      </c>
      <c r="K346" s="19" t="s">
        <v>563</v>
      </c>
      <c r="L346" s="19" t="s">
        <v>502</v>
      </c>
      <c r="M346" s="19" t="s">
        <v>16</v>
      </c>
      <c r="N346" s="19">
        <v>45746</v>
      </c>
      <c r="O346" s="19">
        <v>30</v>
      </c>
      <c r="P346" s="81">
        <v>1</v>
      </c>
      <c r="Q346" s="19" t="s">
        <v>23</v>
      </c>
      <c r="R346" s="19" t="s">
        <v>11</v>
      </c>
      <c r="S346" s="19" t="s">
        <v>23</v>
      </c>
      <c r="T346" s="19">
        <v>30</v>
      </c>
      <c r="U346" s="19" t="s">
        <v>11</v>
      </c>
      <c r="V346" s="19" t="s">
        <v>11</v>
      </c>
      <c r="W346" s="19" t="s">
        <v>19</v>
      </c>
      <c r="X346" s="19">
        <v>1103182</v>
      </c>
      <c r="Y346" s="19" t="s">
        <v>735</v>
      </c>
      <c r="Z346" s="19">
        <v>30</v>
      </c>
      <c r="AA346" s="19">
        <v>1103182</v>
      </c>
      <c r="AB346" s="19">
        <v>1103182</v>
      </c>
      <c r="AC346" s="178" t="str">
        <f>IF(OR(M346="13",M346="14",P346=8),"",IF(AND(OR(S346="AUTORIZADO", S346="PENDIENTE", S346="REDUCIDO", S346="AMPLIADO"),L346&lt;&gt;"HONORARIO" ), CONCATENATE(IF(H346="X","H",H346),"_",IF(OR(P346=5,P346=6),_xlfn.CONCAT(P346,"A"),P346),"_",VLOOKUP(T346,Datos!$B$2:$C$5,2,TRUE)),""))</f>
        <v>M_1_[11 +]</v>
      </c>
      <c r="AD346" s="178">
        <f t="shared" si="135"/>
        <v>2206364</v>
      </c>
      <c r="AE346" s="82" t="str">
        <f t="shared" si="136"/>
        <v>-</v>
      </c>
      <c r="AF346" s="83" t="str">
        <f t="shared" si="137"/>
        <v>070601</v>
      </c>
      <c r="AG346" s="84"/>
      <c r="AH346" s="85" t="str">
        <f t="shared" si="138"/>
        <v>Corporación de Fomento de la Producción</v>
      </c>
      <c r="AI346" s="82" t="str">
        <f t="shared" si="139"/>
        <v>-</v>
      </c>
      <c r="AJ346" s="82">
        <f t="shared" si="140"/>
        <v>7</v>
      </c>
      <c r="AK346" s="82" t="str">
        <f t="shared" si="141"/>
        <v>-</v>
      </c>
      <c r="AL346" s="82" t="str">
        <f t="shared" si="142"/>
        <v>Identifica este registro como MUJER</v>
      </c>
      <c r="AM346" s="82" t="str">
        <f t="shared" si="143"/>
        <v>-</v>
      </c>
      <c r="AN346" s="82" t="str">
        <f t="shared" si="144"/>
        <v>-</v>
      </c>
      <c r="AO346" s="82" t="str">
        <f t="shared" si="145"/>
        <v>-</v>
      </c>
      <c r="AP346" s="57" t="str">
        <f t="shared" si="146"/>
        <v>-</v>
      </c>
      <c r="AQ346" s="86" t="str">
        <f t="shared" si="147"/>
        <v>-</v>
      </c>
      <c r="AR346" s="86" t="str">
        <f>IF(N346="","PRIMER_DIA en blanco",
IF(AND(M346="01",N346&gt;=L_Conversion!$C$118,N346&lt;=L_Conversion!$D$118),"-",
IF(AND(M346="02",N346&gt;=L_Conversion!$C$119,N346&lt;=L_Conversion!$D$119),"-",
IF(AND(M346="03",N346&gt;=L_Conversion!$C$120,N346&lt;=L_Conversion!$D$120),"-",
IF(AND(M346="04",N346&gt;=L_Conversion!$C$121,N346&lt;=L_Conversion!$D$121),"-",
IF(AND(M346="05",N346&gt;=L_Conversion!$C$122,N346&lt;=L_Conversion!$D$122),"-",
IF(AND(M346="06",N346&gt;=L_Conversion!$C$123,N346&lt;=L_Conversion!$D$123),"-",
IF(AND(M346="07",N346&gt;=L_Conversion!$C$124,N346&lt;=L_Conversion!$D$124),"-",
IF(AND(M346="08",N346&gt;=L_Conversion!$C$125,N346&lt;=L_Conversion!$D$125),"-",
IF(AND(M346="09",N346&gt;=L_Conversion!$C$126,N346&lt;=L_Conversion!$D$126),"-",
IF(AND(M346="10",N346&gt;=L_Conversion!$C$127,N346&lt;=L_Conversion!$D$127),"-",
IF(AND(M346="11",N346&gt;=L_Conversion!$C$128,N346&lt;=L_Conversion!$D$128),"-",
IF(AND(M346="12",N346&gt;=L_Conversion!$C$129,N346&lt;=L_Conversion!$D$129),"-",
IF(AND(M346="13",N346&gt;=L_Conversion!$C$116,N346&lt;=L_Conversion!$D$116),"-",
IF(AND(M346="14",N346&gt;=L_Conversion!$C$117,N346&lt;=L_Conversion!$D$117),"-",
"PRIMER_DIA fuera de rango")))))))))))))))</f>
        <v>-</v>
      </c>
      <c r="AS346" s="86" t="str">
        <f t="shared" si="148"/>
        <v>-</v>
      </c>
      <c r="AT346" s="86" t="str">
        <f t="shared" si="149"/>
        <v>-</v>
      </c>
      <c r="AU346" s="86" t="str">
        <f t="shared" si="150"/>
        <v>-</v>
      </c>
      <c r="AV346" s="86" t="str">
        <f t="shared" si="151"/>
        <v>-</v>
      </c>
      <c r="AW346" s="86" t="str">
        <f t="shared" si="152"/>
        <v>-</v>
      </c>
      <c r="AX346" s="86" t="str">
        <f t="shared" si="153"/>
        <v>-</v>
      </c>
      <c r="AY346" s="86" t="str">
        <f t="shared" si="154"/>
        <v>-</v>
      </c>
      <c r="AZ346" s="86" t="str">
        <f t="shared" si="155"/>
        <v>-</v>
      </c>
      <c r="BA346" s="86" t="str">
        <f t="shared" si="156"/>
        <v>-</v>
      </c>
      <c r="BB346" s="86" t="str">
        <f t="shared" si="157"/>
        <v>-</v>
      </c>
      <c r="BC346" s="86" t="str">
        <f t="shared" si="158"/>
        <v>-</v>
      </c>
      <c r="BD346" s="86" t="str">
        <f t="shared" si="159"/>
        <v>-</v>
      </c>
      <c r="BE346" s="86" t="str">
        <f t="shared" si="160"/>
        <v>-</v>
      </c>
      <c r="BF346" s="86" t="str">
        <f t="shared" si="161"/>
        <v>-</v>
      </c>
    </row>
    <row r="347" spans="1:58" x14ac:dyDescent="0.2">
      <c r="A347" s="19" t="s">
        <v>1144</v>
      </c>
      <c r="B347" s="19" t="s">
        <v>76</v>
      </c>
      <c r="C347" s="19">
        <v>11831422</v>
      </c>
      <c r="D347" s="81">
        <v>0</v>
      </c>
      <c r="E347" s="19" t="s">
        <v>1394</v>
      </c>
      <c r="F347" s="19" t="s">
        <v>1677</v>
      </c>
      <c r="G347" s="19" t="s">
        <v>1678</v>
      </c>
      <c r="H347" s="19" t="s">
        <v>1033</v>
      </c>
      <c r="I347" s="19" t="s">
        <v>662</v>
      </c>
      <c r="J347" s="19">
        <v>80</v>
      </c>
      <c r="K347" s="19" t="s">
        <v>563</v>
      </c>
      <c r="L347" s="19" t="s">
        <v>502</v>
      </c>
      <c r="M347" s="19" t="s">
        <v>16</v>
      </c>
      <c r="N347" s="19">
        <v>45747</v>
      </c>
      <c r="O347" s="19">
        <v>2</v>
      </c>
      <c r="P347" s="81">
        <v>1</v>
      </c>
      <c r="Q347" s="19" t="s">
        <v>23</v>
      </c>
      <c r="R347" s="19" t="s">
        <v>11</v>
      </c>
      <c r="S347" s="19" t="s">
        <v>23</v>
      </c>
      <c r="T347" s="19">
        <v>2</v>
      </c>
      <c r="U347" s="19" t="s">
        <v>11</v>
      </c>
      <c r="V347" s="19" t="s">
        <v>19</v>
      </c>
      <c r="W347" s="19" t="s">
        <v>19</v>
      </c>
      <c r="X347" s="19">
        <v>38865</v>
      </c>
      <c r="Y347" s="19" t="s">
        <v>735</v>
      </c>
      <c r="Z347" s="19">
        <v>2</v>
      </c>
      <c r="AA347" s="19">
        <v>38865</v>
      </c>
      <c r="AB347" s="19">
        <v>38865</v>
      </c>
      <c r="AC347" s="178" t="str">
        <f>IF(OR(M347="13",M347="14",P347=8),"",IF(AND(OR(S347="AUTORIZADO", S347="PENDIENTE", S347="REDUCIDO", S347="AMPLIADO"),L347&lt;&gt;"HONORARIO" ), CONCATENATE(IF(H347="X","H",H347),"_",IF(OR(P347=5,P347=6),_xlfn.CONCAT(P347,"A"),P347),"_",VLOOKUP(T347,Datos!$B$2:$C$5,2,TRUE)),""))</f>
        <v>M_1_[hasta 3]</v>
      </c>
      <c r="AD347" s="178">
        <f t="shared" si="135"/>
        <v>77730</v>
      </c>
      <c r="AE347" s="82" t="str">
        <f t="shared" si="136"/>
        <v>-</v>
      </c>
      <c r="AF347" s="83" t="str">
        <f t="shared" si="137"/>
        <v>070601</v>
      </c>
      <c r="AG347" s="84"/>
      <c r="AH347" s="85" t="str">
        <f t="shared" si="138"/>
        <v>Corporación de Fomento de la Producción</v>
      </c>
      <c r="AI347" s="82" t="str">
        <f t="shared" si="139"/>
        <v>-</v>
      </c>
      <c r="AJ347" s="82">
        <f t="shared" si="140"/>
        <v>0</v>
      </c>
      <c r="AK347" s="82" t="str">
        <f t="shared" si="141"/>
        <v>-</v>
      </c>
      <c r="AL347" s="82" t="str">
        <f t="shared" si="142"/>
        <v>Identifica este registro como MUJER</v>
      </c>
      <c r="AM347" s="82" t="str">
        <f t="shared" si="143"/>
        <v>-</v>
      </c>
      <c r="AN347" s="82" t="str">
        <f t="shared" si="144"/>
        <v>-</v>
      </c>
      <c r="AO347" s="82" t="str">
        <f t="shared" si="145"/>
        <v>-</v>
      </c>
      <c r="AP347" s="57" t="str">
        <f t="shared" si="146"/>
        <v>-</v>
      </c>
      <c r="AQ347" s="86" t="str">
        <f t="shared" si="147"/>
        <v>-</v>
      </c>
      <c r="AR347" s="86" t="str">
        <f>IF(N347="","PRIMER_DIA en blanco",
IF(AND(M347="01",N347&gt;=L_Conversion!$C$118,N347&lt;=L_Conversion!$D$118),"-",
IF(AND(M347="02",N347&gt;=L_Conversion!$C$119,N347&lt;=L_Conversion!$D$119),"-",
IF(AND(M347="03",N347&gt;=L_Conversion!$C$120,N347&lt;=L_Conversion!$D$120),"-",
IF(AND(M347="04",N347&gt;=L_Conversion!$C$121,N347&lt;=L_Conversion!$D$121),"-",
IF(AND(M347="05",N347&gt;=L_Conversion!$C$122,N347&lt;=L_Conversion!$D$122),"-",
IF(AND(M347="06",N347&gt;=L_Conversion!$C$123,N347&lt;=L_Conversion!$D$123),"-",
IF(AND(M347="07",N347&gt;=L_Conversion!$C$124,N347&lt;=L_Conversion!$D$124),"-",
IF(AND(M347="08",N347&gt;=L_Conversion!$C$125,N347&lt;=L_Conversion!$D$125),"-",
IF(AND(M347="09",N347&gt;=L_Conversion!$C$126,N347&lt;=L_Conversion!$D$126),"-",
IF(AND(M347="10",N347&gt;=L_Conversion!$C$127,N347&lt;=L_Conversion!$D$127),"-",
IF(AND(M347="11",N347&gt;=L_Conversion!$C$128,N347&lt;=L_Conversion!$D$128),"-",
IF(AND(M347="12",N347&gt;=L_Conversion!$C$129,N347&lt;=L_Conversion!$D$129),"-",
IF(AND(M347="13",N347&gt;=L_Conversion!$C$116,N347&lt;=L_Conversion!$D$116),"-",
IF(AND(M347="14",N347&gt;=L_Conversion!$C$117,N347&lt;=L_Conversion!$D$117),"-",
"PRIMER_DIA fuera de rango")))))))))))))))</f>
        <v>-</v>
      </c>
      <c r="AS347" s="86" t="str">
        <f t="shared" si="148"/>
        <v>-</v>
      </c>
      <c r="AT347" s="86" t="str">
        <f t="shared" si="149"/>
        <v>-</v>
      </c>
      <c r="AU347" s="86" t="str">
        <f t="shared" si="150"/>
        <v>-</v>
      </c>
      <c r="AV347" s="86" t="str">
        <f t="shared" si="151"/>
        <v>-</v>
      </c>
      <c r="AW347" s="86" t="str">
        <f t="shared" si="152"/>
        <v>-</v>
      </c>
      <c r="AX347" s="86" t="str">
        <f t="shared" si="153"/>
        <v>-</v>
      </c>
      <c r="AY347" s="86" t="str">
        <f t="shared" si="154"/>
        <v>-</v>
      </c>
      <c r="AZ347" s="86" t="str">
        <f t="shared" si="155"/>
        <v>-</v>
      </c>
      <c r="BA347" s="86" t="str">
        <f t="shared" si="156"/>
        <v>-</v>
      </c>
      <c r="BB347" s="86" t="str">
        <f t="shared" si="157"/>
        <v>-</v>
      </c>
      <c r="BC347" s="86" t="str">
        <f t="shared" si="158"/>
        <v>-</v>
      </c>
      <c r="BD347" s="86" t="str">
        <f t="shared" si="159"/>
        <v>-</v>
      </c>
      <c r="BE347" s="86" t="str">
        <f t="shared" si="160"/>
        <v>-</v>
      </c>
      <c r="BF347" s="86" t="str">
        <f t="shared" si="161"/>
        <v>-</v>
      </c>
    </row>
    <row r="348" spans="1:58" x14ac:dyDescent="0.2">
      <c r="A348" s="19" t="s">
        <v>1144</v>
      </c>
      <c r="B348" s="19" t="s">
        <v>76</v>
      </c>
      <c r="C348" s="19">
        <v>12634622</v>
      </c>
      <c r="D348" s="81">
        <v>0</v>
      </c>
      <c r="E348" s="19" t="s">
        <v>1679</v>
      </c>
      <c r="F348" s="19" t="s">
        <v>1345</v>
      </c>
      <c r="G348" s="19" t="s">
        <v>1680</v>
      </c>
      <c r="H348" s="19" t="s">
        <v>1033</v>
      </c>
      <c r="I348" s="19" t="s">
        <v>662</v>
      </c>
      <c r="J348" s="19">
        <v>60</v>
      </c>
      <c r="K348" s="19" t="s">
        <v>561</v>
      </c>
      <c r="L348" s="19" t="s">
        <v>497</v>
      </c>
      <c r="M348" s="19" t="s">
        <v>16</v>
      </c>
      <c r="N348" s="19">
        <v>45747</v>
      </c>
      <c r="O348" s="19">
        <v>3</v>
      </c>
      <c r="P348" s="81">
        <v>1</v>
      </c>
      <c r="Q348" s="19" t="s">
        <v>23</v>
      </c>
      <c r="R348" s="19" t="s">
        <v>11</v>
      </c>
      <c r="S348" s="19" t="s">
        <v>23</v>
      </c>
      <c r="T348" s="19">
        <v>3</v>
      </c>
      <c r="U348" s="19" t="s">
        <v>11</v>
      </c>
      <c r="V348" s="19" t="s">
        <v>19</v>
      </c>
      <c r="W348" s="19" t="s">
        <v>19</v>
      </c>
      <c r="X348" s="19">
        <v>67823</v>
      </c>
      <c r="Y348" s="19" t="s">
        <v>735</v>
      </c>
      <c r="Z348" s="19">
        <v>3</v>
      </c>
      <c r="AA348" s="19">
        <v>67823</v>
      </c>
      <c r="AB348" s="19">
        <v>67823</v>
      </c>
      <c r="AC348" s="178" t="str">
        <f>IF(OR(M348="13",M348="14",P348=8),"",IF(AND(OR(S348="AUTORIZADO", S348="PENDIENTE", S348="REDUCIDO", S348="AMPLIADO"),L348&lt;&gt;"HONORARIO" ), CONCATENATE(IF(H348="X","H",H348),"_",IF(OR(P348=5,P348=6),_xlfn.CONCAT(P348,"A"),P348),"_",VLOOKUP(T348,Datos!$B$2:$C$5,2,TRUE)),""))</f>
        <v>M_1_[hasta 3]</v>
      </c>
      <c r="AD348" s="178">
        <f t="shared" si="135"/>
        <v>135646</v>
      </c>
      <c r="AE348" s="82" t="str">
        <f t="shared" si="136"/>
        <v>-</v>
      </c>
      <c r="AF348" s="83" t="str">
        <f t="shared" si="137"/>
        <v>070601</v>
      </c>
      <c r="AG348" s="84"/>
      <c r="AH348" s="85" t="str">
        <f t="shared" si="138"/>
        <v>Corporación de Fomento de la Producción</v>
      </c>
      <c r="AI348" s="82" t="str">
        <f t="shared" si="139"/>
        <v>-</v>
      </c>
      <c r="AJ348" s="82">
        <f t="shared" si="140"/>
        <v>0</v>
      </c>
      <c r="AK348" s="82" t="str">
        <f t="shared" si="141"/>
        <v>-</v>
      </c>
      <c r="AL348" s="82" t="str">
        <f t="shared" si="142"/>
        <v>Identifica este registro como MUJER</v>
      </c>
      <c r="AM348" s="82" t="str">
        <f t="shared" si="143"/>
        <v>-</v>
      </c>
      <c r="AN348" s="82" t="str">
        <f t="shared" si="144"/>
        <v>-</v>
      </c>
      <c r="AO348" s="82" t="str">
        <f t="shared" si="145"/>
        <v>-</v>
      </c>
      <c r="AP348" s="57" t="str">
        <f t="shared" si="146"/>
        <v>-</v>
      </c>
      <c r="AQ348" s="86" t="str">
        <f t="shared" si="147"/>
        <v>-</v>
      </c>
      <c r="AR348" s="86" t="str">
        <f>IF(N348="","PRIMER_DIA en blanco",
IF(AND(M348="01",N348&gt;=L_Conversion!$C$118,N348&lt;=L_Conversion!$D$118),"-",
IF(AND(M348="02",N348&gt;=L_Conversion!$C$119,N348&lt;=L_Conversion!$D$119),"-",
IF(AND(M348="03",N348&gt;=L_Conversion!$C$120,N348&lt;=L_Conversion!$D$120),"-",
IF(AND(M348="04",N348&gt;=L_Conversion!$C$121,N348&lt;=L_Conversion!$D$121),"-",
IF(AND(M348="05",N348&gt;=L_Conversion!$C$122,N348&lt;=L_Conversion!$D$122),"-",
IF(AND(M348="06",N348&gt;=L_Conversion!$C$123,N348&lt;=L_Conversion!$D$123),"-",
IF(AND(M348="07",N348&gt;=L_Conversion!$C$124,N348&lt;=L_Conversion!$D$124),"-",
IF(AND(M348="08",N348&gt;=L_Conversion!$C$125,N348&lt;=L_Conversion!$D$125),"-",
IF(AND(M348="09",N348&gt;=L_Conversion!$C$126,N348&lt;=L_Conversion!$D$126),"-",
IF(AND(M348="10",N348&gt;=L_Conversion!$C$127,N348&lt;=L_Conversion!$D$127),"-",
IF(AND(M348="11",N348&gt;=L_Conversion!$C$128,N348&lt;=L_Conversion!$D$128),"-",
IF(AND(M348="12",N348&gt;=L_Conversion!$C$129,N348&lt;=L_Conversion!$D$129),"-",
IF(AND(M348="13",N348&gt;=L_Conversion!$C$116,N348&lt;=L_Conversion!$D$116),"-",
IF(AND(M348="14",N348&gt;=L_Conversion!$C$117,N348&lt;=L_Conversion!$D$117),"-",
"PRIMER_DIA fuera de rango")))))))))))))))</f>
        <v>-</v>
      </c>
      <c r="AS348" s="86" t="str">
        <f t="shared" si="148"/>
        <v>-</v>
      </c>
      <c r="AT348" s="86" t="str">
        <f t="shared" si="149"/>
        <v>-</v>
      </c>
      <c r="AU348" s="86" t="str">
        <f t="shared" si="150"/>
        <v>-</v>
      </c>
      <c r="AV348" s="86" t="str">
        <f t="shared" si="151"/>
        <v>-</v>
      </c>
      <c r="AW348" s="86" t="str">
        <f t="shared" si="152"/>
        <v>-</v>
      </c>
      <c r="AX348" s="86" t="str">
        <f t="shared" si="153"/>
        <v>-</v>
      </c>
      <c r="AY348" s="86" t="str">
        <f t="shared" si="154"/>
        <v>-</v>
      </c>
      <c r="AZ348" s="86" t="str">
        <f t="shared" si="155"/>
        <v>-</v>
      </c>
      <c r="BA348" s="86" t="str">
        <f t="shared" si="156"/>
        <v>-</v>
      </c>
      <c r="BB348" s="86" t="str">
        <f t="shared" si="157"/>
        <v>-</v>
      </c>
      <c r="BC348" s="86" t="str">
        <f t="shared" si="158"/>
        <v>-</v>
      </c>
      <c r="BD348" s="86" t="str">
        <f t="shared" si="159"/>
        <v>-</v>
      </c>
      <c r="BE348" s="86" t="str">
        <f t="shared" si="160"/>
        <v>-</v>
      </c>
      <c r="BF348" s="86" t="str">
        <f t="shared" si="161"/>
        <v>-</v>
      </c>
    </row>
    <row r="349" spans="1:58" x14ac:dyDescent="0.2">
      <c r="A349" s="19" t="s">
        <v>1144</v>
      </c>
      <c r="B349" s="19" t="s">
        <v>76</v>
      </c>
      <c r="C349" s="19">
        <v>9921999</v>
      </c>
      <c r="D349" s="81">
        <v>8</v>
      </c>
      <c r="E349" s="19" t="s">
        <v>1541</v>
      </c>
      <c r="F349" s="19" t="s">
        <v>1394</v>
      </c>
      <c r="G349" s="19" t="s">
        <v>1650</v>
      </c>
      <c r="H349" s="19" t="s">
        <v>1033</v>
      </c>
      <c r="I349" s="19" t="s">
        <v>663</v>
      </c>
      <c r="J349" s="19">
        <v>80</v>
      </c>
      <c r="K349" s="19" t="s">
        <v>563</v>
      </c>
      <c r="L349" s="19" t="s">
        <v>516</v>
      </c>
      <c r="M349" s="19" t="s">
        <v>16</v>
      </c>
      <c r="N349" s="19">
        <v>45747</v>
      </c>
      <c r="O349" s="19">
        <v>2</v>
      </c>
      <c r="P349" s="81">
        <v>1</v>
      </c>
      <c r="Q349" s="19" t="s">
        <v>23</v>
      </c>
      <c r="R349" s="19" t="s">
        <v>11</v>
      </c>
      <c r="S349" s="19" t="s">
        <v>23</v>
      </c>
      <c r="T349" s="19">
        <v>2</v>
      </c>
      <c r="U349" s="19" t="s">
        <v>11</v>
      </c>
      <c r="V349" s="19" t="s">
        <v>19</v>
      </c>
      <c r="W349" s="19" t="s">
        <v>19</v>
      </c>
      <c r="X349" s="19">
        <v>48801</v>
      </c>
      <c r="Y349" s="19" t="s">
        <v>735</v>
      </c>
      <c r="Z349" s="19">
        <v>2</v>
      </c>
      <c r="AA349" s="19">
        <v>48801</v>
      </c>
      <c r="AB349" s="19">
        <v>48801</v>
      </c>
      <c r="AC349" s="178" t="str">
        <f>IF(OR(M349="13",M349="14",P349=8),"",IF(AND(OR(S349="AUTORIZADO", S349="PENDIENTE", S349="REDUCIDO", S349="AMPLIADO"),L349&lt;&gt;"HONORARIO" ), CONCATENATE(IF(H349="X","H",H349),"_",IF(OR(P349=5,P349=6),_xlfn.CONCAT(P349,"A"),P349),"_",VLOOKUP(T349,Datos!$B$2:$C$5,2,TRUE)),""))</f>
        <v>M_1_[hasta 3]</v>
      </c>
      <c r="AD349" s="178">
        <f t="shared" ref="AD349:AD354" si="162">IF(AC349="",0,AA349+AB349)</f>
        <v>97602</v>
      </c>
      <c r="AE349" s="82" t="str">
        <f t="shared" ref="AE349:AE354" si="163">IF(A349="","Celda vacía",IF(A349="L","-","Revisar"))</f>
        <v>-</v>
      </c>
      <c r="AF349" s="83" t="str">
        <f t="shared" ref="AF349:AF354" si="164">IF(B349="","Celda vacía",IF(LEN(B349)=4,REPLACE(B349,1,6,CONCATENATE("00",B349)),IF(LEN(B349)=5,REPLACE(B349,1,6,CONCATENATE("0",B349)),IF(LEN(B349)=6,REPLACE(B349,1,6,B349),IF(AND(LEN(B349)&gt;6,OR(LEFT(B349,4)="1202", LEFT(B349,4)="1703")),REPLACE(B349,1,LEN(B349),B349),"Revisar")))))</f>
        <v>070601</v>
      </c>
      <c r="AG349" s="84"/>
      <c r="AH349" s="85" t="str">
        <f t="shared" ref="AH349:AH354" si="165">IF(B349="","Celda Vacía",IF(ISERROR(IF(B349="","",VLOOKUP(B349,Codigo,3,0))),"Corregir código servicio",IF(B349="","",VLOOKUP(B349,Codigo,3,0))))</f>
        <v>Corporación de Fomento de la Producción</v>
      </c>
      <c r="AI349" s="82" t="str">
        <f t="shared" ref="AI349:AI354" si="166">IF(C349="","Celda vacía",IF(C349&gt;1000000,"-","Revisar con Edad"))</f>
        <v>-</v>
      </c>
      <c r="AJ349" s="82">
        <f t="shared" ref="AJ349:AJ354" si="167">IF(D349="","Celda vacía",IF(IF(IF(LEN(C349)=6,(11-((RIGHT(C349,1)*2+MID(C349,5,1)*3+MID(C349,4,1)*4+MID(C349,3,1)*5+MID(C349,2,1)*6+LEFT(C349,1)*7)-(INT((RIGHT(C349,1)*2+MID(C349,5,1)*3+MID(C349,4,1)*4+MID(C349,3,1)*5+MID(C349,2,1)*6+LEFT(C349,1)*7)/11)*11))),IF(LEN(C349)=7,(11-((RIGHT(C349,1)*2+MID(C349,6,1)*3+MID(C349,5,1)*4+MID(C349,4,1)*5+MID(C349,3,1)*6+MID(C349,2,1)*7+LEFT(C349,1)*2)-(INT((RIGHT(C349,1)*2+MID(C349,6,1)*3+MID(C349,5,1)*4+MID(C349,4,1)*5+MID(C349,3,1)*6+MID(C349,2,1)*7+LEFT(C349,1)*2)/11)*11))),(11-((RIGHT(C349,1)*2+MID(C349,7,1)*3+MID(C349,6,1)*4+MID(C349,5,1)*5+MID(C349,4,1)*6+MID(C349,3,1)*7+MID(C349,2,1)*2+LEFT(C349,1)*3)-(INT((RIGHT(C349,1)*2+MID(C349,7,1)*3+MID(C349,6,1)*4+MID(C349,5,1)*5+MID(C349,4,1)*6+MID(C349,3,1)*7+MID(C349,2,1)*2+LEFT(C349,1)*3)/11)*11)))))=11,0,IF(LEN(C349)=6,(11-((RIGHT(C349,1)*2+MID(C349,5,1)*3+MID(C349,4,1)*4+MID(C349,3,1)*5+MID(C349,2,1)*6+LEFT(C349,1)*7)-(INT((RIGHT(C349,1)*2+MID(C349,5,1)*3+MID(C349,4,1)*4+MID(C349,3,1)*5+MID(C349,2,1)*6+LEFT(C349,1)*7)/11)*11))),IF(LEN(C349)=7,(11-((RIGHT(C349,1)*2+MID(C349,6,1)*3+MID(C349,5,1)*4+MID(C349,4,1)*5+MID(C349,3,1)*6+MID(C349,2,1)*7+LEFT(C349,1)*2)-(INT((RIGHT(C349,1)*2+MID(C349,6,1)*3+MID(C349,5,1)*4+MID(C349,4,1)*5+MID(C349,3,1)*6+MID(C349,2,1)*7+LEFT(C349,1)*2)/11)*11))),(11-((RIGHT(C349,1)*2+MID(C349,7,1)*3+MID(C349,6,1)*4+MID(C349,5,1)*5+MID(C349,4,1)*6+MID(C349,3,1)*7+MID(C349,2,1)*2+LEFT(C349,1)*3)-(INT((RIGHT(C349,1)*2+MID(C349,7,1)*3+MID(C349,6,1)*4+MID(C349,5,1)*5+MID(C349,4,1)*6+MID(C349,3,1)*7+MID(C349,2,1)*2+LEFT(C349,1)*3)/11)*11))))))=10,"K",IF(IF(LEN(C349)=6,(11-((RIGHT(C349,1)*2+MID(C349,5,1)*3+MID(C349,4,1)*4+MID(C349,3,1)*5+MID(C349,2,1)*6+LEFT(C349,1)*7)-(INT((RIGHT(C349,1)*2+MID(C349,5,1)*3+MID(C349,4,1)*4+MID(C349,3,1)*5+MID(C349,2,1)*6+LEFT(C349,1)*7)/11)*11))),IF(LEN(C349)=7,(11-((RIGHT(C349,1)*2+MID(C349,6,1)*3+MID(C349,5,1)*4+MID(C349,4,1)*5+MID(C349,3,1)*6+MID(C349,2,1)*7+LEFT(C349,1)*2)-(INT((RIGHT(C349,1)*2+MID(C349,6,1)*3+MID(C349,5,1)*4+MID(C349,4,1)*5+MID(C349,3,1)*6+MID(C349,2,1)*7+LEFT(C349,1)*2)/11)*11))),(11-((RIGHT(C349,1)*2+MID(C349,7,1)*3+MID(C349,6,1)*4+MID(C349,5,1)*5+MID(C349,4,1)*6+MID(C349,3,1)*7+MID(C349,2,1)*2+LEFT(C349,1)*3)-(INT((RIGHT(C349,1)*2+MID(C349,7,1)*3+MID(C349,6,1)*4+MID(C349,5,1)*5+MID(C349,4,1)*6+MID(C349,3,1)*7+MID(C349,2,1)*2+LEFT(C349,1)*3)/11)*11)))))=11,0,IF(LEN(C349)=6,(11-((RIGHT(C349,1)*2+MID(C349,5,1)*3+MID(C349,4,1)*4+MID(C349,3,1)*5+MID(C349,2,1)*6+LEFT(C349,1)*7)-(INT((RIGHT(C349,1)*2+MID(C349,5,1)*3+MID(C349,4,1)*4+MID(C349,3,1)*5+MID(C349,2,1)*6+LEFT(C349,1)*7)/11)*11))),IF(LEN(C349)=7,(11-((RIGHT(C349,1)*2+MID(C349,6,1)*3+MID(C349,5,1)*4+MID(C349,4,1)*5+MID(C349,3,1)*6+MID(C349,2,1)*7+LEFT(C349,1)*2)-(INT((RIGHT(C349,1)*2+MID(C349,6,1)*3+MID(C349,5,1)*4+MID(C349,4,1)*5+MID(C349,3,1)*6+MID(C349,2,1)*7+LEFT(C349,1)*2)/11)*11))),(11-((RIGHT(C349,1)*2+MID(C349,7,1)*3+MID(C349,6,1)*4+MID(C349,5,1)*5+MID(C349,4,1)*6+MID(C349,3,1)*7+MID(C349,2,1)*2+LEFT(C349,1)*3)-(INT((RIGHT(C349,1)*2+MID(C349,7,1)*3+MID(C349,6,1)*4+MID(C349,5,1)*5+MID(C349,4,1)*6+MID(C349,3,1)*7+MID(C349,2,1)*2+LEFT(C349,1)*3)/11)*11))))))))</f>
        <v>8</v>
      </c>
      <c r="AK349" s="82" t="str">
        <f t="shared" ref="AK349:AK354" si="168">IF(C349="","Celda vacía",IF(C349="E","-",IF(IF(AJ349=11,0,IF(AJ349=10,"K",AJ349))=D349,"-","Corregir RUN")))</f>
        <v>-</v>
      </c>
      <c r="AL349" s="82" t="str">
        <f t="shared" ref="AL349:AL354" si="169">IF(H349="","Celda vacía",IF(OR(H349="M",H349="H",H349="X"),  IF(H349="M", "Identifica este registro como MUJER",  IF(H349="H","Identifica este registro como HOMBRE", IF(H349="X","Identifica este registro como NO BINARIO"))),  "Validar con Tabla N°01")   )</f>
        <v>Identifica este registro como MUJER</v>
      </c>
      <c r="AM349" s="82" t="str">
        <f t="shared" ref="AM349:AM354" si="170">IF(I349="","Celda vacía",IF(ISERROR(VLOOKUP(I349,Tabla_27_Matriz_Base,1,0)),"Revisar","-"))</f>
        <v>-</v>
      </c>
      <c r="AN349" s="82" t="str">
        <f t="shared" ref="AN349:AN354" si="171">IF(J349="","Celda vacía",IF(ISERROR(VLOOKUP(J349,Tabla_04_Sist.Rem,1,0)),"Revisar","-"))</f>
        <v>-</v>
      </c>
      <c r="AO349" s="82" t="str">
        <f t="shared" ref="AO349:AO354" si="172">IF(J349="","SIST_REM vacío, no permite validar estamento",IF(OR(J349=10,J349=40,J349=60,J349=70),IF(ISERROR(VLOOKUP(K349,Tabla_06_10_40_60_70_EUS,1,0)),"Revisar. Estamento no corresponde a sist. Rem.","-"),
IF(AND(A349="l",J349=11,K349="DIRECTIVO"),"Dual",
IF(OR(J349=11,J349=12),IF(ISERROR(VLOOKUP(K349,Tabla_06_11_12_15076_19664,1,0)),"Revisar. Estamento no corresponde a sist. Rem.","-"),
IF(J349=13,IF(ISERROR(VLOOKUP(K349,Tabla_06_13,1,0)),"Revisar. Estamento no corresponde a sist. Rem.","-"),
IF(J349=14,IF(ISERROR(VLOOKUP(K349,Tabla_06_14,1,0)),"Revisar. Estamento no corresponde a sist. Rem.","-"),
IF(J349=15,IF(ISERROR(VLOOKUP(K349,Tabla_06_15,1,0)),"Revisar. Estamento no corresponde a sist. Rem.","-"),
IF(OR(J349=90),IF(ISERROR(VLOOKUP(K349,Tabla_06_90_Personal_Fuera_de_Dotacion,1,0)),"Revisar. Estamento no corresponde a sist. Rem.","-"),
IF(J349=61,IF(ISERROR(VLOOKUP(K349,Tabla_06_DFL29_61_Experimentales,1,0)),"Revisar. Estamento no corresponde a sist. Rem.","-"),IF(J349=20,IF(ISERROR(VLOOKUP(K349,Tabla_06_20_Fiscalizadores,1,0)),"Revisar. Estamento no corresponde a sist. Rem.","-"),IF(J349=80,IF(ISERROR(VLOOKUP(K349,Tabla_06_80_Codigo_del_Trabajo,1,0)),"Revisar. Estamento no corresponde a sist. Rem.","-"),                    IF(J349=30,IF(ISERROR(VLOOKUP(K349,Tabla_06_30_Poder_Judicial,1,0)),"Revisar. Estamento no corresponde a sist. Rem.","-"),IF(ISERROR(VLOOKUP(K349,Tabla_06_50_Ministerio_Publico,1,0)),"Revisar","-")))))))))))))</f>
        <v>-</v>
      </c>
      <c r="AP349" s="57" t="str">
        <f t="shared" ref="AP349:AP354" si="173">IF(L349="","Celda vacía",IF(ISERROR(VLOOKUP(L349,Tabla_Personal,1,0)),"Revisar","-"))</f>
        <v>-</v>
      </c>
      <c r="AQ349" s="86" t="str">
        <f t="shared" ref="AQ349:AQ354" si="174">IF(M349="","Celda vacía",IF(ISERROR(VLOOKUP(M349,Tabla_01_Mes,1,0)),"Revisar","-"))</f>
        <v>-</v>
      </c>
      <c r="AR349" s="86" t="str">
        <f>IF(N349="","PRIMER_DIA en blanco",
IF(AND(M349="01",N349&gt;=L_Conversion!$C$118,N349&lt;=L_Conversion!$D$118),"-",
IF(AND(M349="02",N349&gt;=L_Conversion!$C$119,N349&lt;=L_Conversion!$D$119),"-",
IF(AND(M349="03",N349&gt;=L_Conversion!$C$120,N349&lt;=L_Conversion!$D$120),"-",
IF(AND(M349="04",N349&gt;=L_Conversion!$C$121,N349&lt;=L_Conversion!$D$121),"-",
IF(AND(M349="05",N349&gt;=L_Conversion!$C$122,N349&lt;=L_Conversion!$D$122),"-",
IF(AND(M349="06",N349&gt;=L_Conversion!$C$123,N349&lt;=L_Conversion!$D$123),"-",
IF(AND(M349="07",N349&gt;=L_Conversion!$C$124,N349&lt;=L_Conversion!$D$124),"-",
IF(AND(M349="08",N349&gt;=L_Conversion!$C$125,N349&lt;=L_Conversion!$D$125),"-",
IF(AND(M349="09",N349&gt;=L_Conversion!$C$126,N349&lt;=L_Conversion!$D$126),"-",
IF(AND(M349="10",N349&gt;=L_Conversion!$C$127,N349&lt;=L_Conversion!$D$127),"-",
IF(AND(M349="11",N349&gt;=L_Conversion!$C$128,N349&lt;=L_Conversion!$D$128),"-",
IF(AND(M349="12",N349&gt;=L_Conversion!$C$129,N349&lt;=L_Conversion!$D$129),"-",
IF(AND(M349="13",N349&gt;=L_Conversion!$C$116,N349&lt;=L_Conversion!$D$116),"-",
IF(AND(M349="14",N349&gt;=L_Conversion!$C$117,N349&lt;=L_Conversion!$D$117),"-",
"PRIMER_DIA fuera de rango")))))))))))))))</f>
        <v>-</v>
      </c>
      <c r="AS349" s="86" t="str">
        <f t="shared" ref="AS349:AS354" si="175">IF(O349="","Celda vacía",IF(AND(ISERROR(VLOOKUP(P349,Tabla_18_Tipos_licencias,1,FALSE))=FALSE,O349&gt;=0,O349&lt;=365),IF(P349=8,IF(H349="M",IF(ISERROR(VLOOKUP(O349,Dias_Licencia_Tipo_8_M,1,0)),"Revisar días licencia tipo 8","-"),IF(ISERROR(VLOOKUP(O349,Dias_licencia_tipo_8_H,1,0)),"Revisar días licencia tipo 8","-")),"-"),"Se debe revisar los campos TIPO_LM y N_DIAS"))</f>
        <v>-</v>
      </c>
      <c r="AT349" s="86" t="str">
        <f t="shared" ref="AT349:AT354" si="176">IF(P349="","Celda vacía",IF(ISERROR(VLOOKUP(P349,Tabla_18_Tipos_licencias,1,FALSE))=FALSE,IF(H349="M","-",IF(P349=7,"Revisar","-")),"Revisar"))</f>
        <v>-</v>
      </c>
      <c r="AU349" s="86" t="str">
        <f t="shared" ref="AU349:AU354" si="177">IF(Q349="","Celda vacía",IF(AND(OR(L349="HAG",L349="HONORARIO"),OR(Q349="AUTORIZADO",Q349="REDUCIDO",Q349="RECHAZADO",Q349="PENDIENTE",Q349="AMPLIADO")),"Revisar Calidad Jurídica",IF(AND(OR(L349="HAG",L349="HONORARIO"),Q349="NC"),"-",IF(ISERROR(VLOOKUP(Q349,Tabla_04_Estado_Resolucion,1,0)),"Revisar",IF(AND(Q349="PENDIENTE",($BG$1-N349)&gt;60),"Validar estado PENDIENTE",  IF(AND(OR(L349="CONTRATA",L349="PLANTA", L349="CT", L349="JP", L349="JORNAL", L349="CONTRATA_FD", L349="CT_FD", L349="ADSCRITO", L349="LGN", L349="VIGILANTE", L349="BECARIOS", L349="PLANTA_FD"),Q349&lt;&gt;"NC"),"-","Revisar Calidad Jurídica"))))))</f>
        <v>-</v>
      </c>
      <c r="AV349" s="86" t="str">
        <f t="shared" ref="AV349:AV354" si="178">IF(R349="","Celda vacía",IF(AND(OR(Q349="AUTORIZADO",Q349="PENDIENTE",Q349="NC",Q349="AMPLIADO"),R349="N"),"-",IF(AND(OR(Q349="REDUCIDO",Q349="RECHAZADO"),OR(R349="S",R349="N")),"-","Revisar")))</f>
        <v>-</v>
      </c>
      <c r="AW349" s="86" t="str">
        <f t="shared" ref="AW349:AW354" si="179">IF(Q349="","Celda vacía",IF(AND(R349="N",Q349=S349),"-",IF(AND(S349="PENDIENTE",($BG$1-N349)&gt;60),"Validar estado PENDIENTE",IF(AND(R349="S",OR(S349="AUTORIZADO",S349="PENDIENTE"),T349=O349),"-",IF(AND(R349="S",S349="REDUCIDO",T349&lt;O349,T349&gt;0),"-",IF(AND(R349="S",S349="RECHAZADO",T349=0),"-",IF(AND(Q349="NC",S349="NC",T349=O349),"-","Revisar")))))))</f>
        <v>-</v>
      </c>
      <c r="AX349" s="86" t="str">
        <f t="shared" ref="AX349:AX354" si="180">IF(T349="","Celda Vacía",IF(AND(OR(S349="AUTORIZADO",S349="PENDIENTE",S349="NC"),O349=T349),"-",IF(AND(S349="REDUCIDO",T349&gt;0,T349&lt;O349),"-",IF(AND(S349="RECHAZADO",T349=0),"-",   IF(AND(S349="AMPLIADO",T349&gt;O349),"-",       "Revisar" )))))</f>
        <v>-</v>
      </c>
      <c r="AY349" s="86" t="str">
        <f t="shared" ref="AY349:AY354" si="181">IF(U349="","Celda vacía",IF(OR(U349="S",U349="N"),"-","Revisar"))</f>
        <v>-</v>
      </c>
      <c r="AZ349" s="86" t="str">
        <f t="shared" ref="AZ349:AZ354" si="182">IF(V349="","Celda vacía",IF(OR(V349="S",V349="N"),"-","Revisar"))</f>
        <v>-</v>
      </c>
      <c r="BA349" s="86" t="str">
        <f t="shared" ref="BA349:BA354" si="183">IF(W349="","Celda vacía",IF(OR(W349="S",W349="N"),"-","Revisar"))</f>
        <v>-</v>
      </c>
      <c r="BB349" s="86" t="str">
        <f t="shared" ref="BB349:BB354" si="184">IF(X349="","Celda Vacia",IF(  OR(          AND(X349=0,W349="S"),AND(X349&lt;&gt;0,W349="N")),"Revisar valor del campo MONTO_SUB","-"))</f>
        <v>-</v>
      </c>
      <c r="BC349" s="86" t="str">
        <f t="shared" ref="BC349:BC354" si="185">IF(Y349="","Celda Vacia",IF(ISERROR(VLOOKUP(Y349,Tabla_33_estado_recuperacion,1,FALSE)),"Se debe corregir el valor según Tabla Nro 33",IF(Y349="SDR",IF(OR(S349="RECHAZADO",W349="N"),"-","Se debe revisar  ESTADO SDR"),IF(Y349="PEN",IF(OR(S349="AUTORIZADO",S349="REDUCIDO",S349="PENDIENTE"),"-","Se debe revisar ESTADO PEN"),IF(AND(OR(W349="S",W349="N"),OR(Y349="TOT",Y349="PAR"),OR(S349="AUTORIZADO",S349="REDUCIDO")),"-","Revisar ER2 Y ESTADO_REC")))))</f>
        <v>-</v>
      </c>
      <c r="BD349" s="86" t="str">
        <f t="shared" ref="BD349:BD354" si="186">IF(Z349="","Celda Vacia", IF(Z349&gt;T349,"Dias recuperados no puede ser mayor a dias autorizados", IF(ISNUMBER(Z349)=TRUE,IF(Z349=0,IF(OR(Y349="SDR",Y349="PEN"),"-",IF(AND(T349&lt;4,OR(Y349="TOT",Y349="PAR")),"-","Se debe revisar los Campos N_DIAS_REC y ESTADO_REC")),IF(AND(Z349&gt;0,Z349&lt;366,OR(Y349="TOT",Y349="PAR")),"-","Se debe revisar los campos ESTADO_REC y N_DIAS_REC")),"Valor del campo N_DIAS_REC no es numérico"))    )</f>
        <v>-</v>
      </c>
      <c r="BE349" s="86" t="str">
        <f t="shared" ref="BE349:BE354" si="187">IF(AA349="","Celda vacia",
IF( AND(AA349=0,(OR(Y349="PEN",Y349="SDR"))),"-",
IF(AND(T349&lt;4,OR(P349="5A",P349="5B",P349="6A",P349="6B"),AA349&gt;=0),"-",
IF(AND(T349&lt;4,P349&lt;&gt;"5A",P349&lt;&gt;"5B",P349&lt;&gt;"6A",P349&lt;&gt;"6B",AA349=0),"-",
IF(AND(T349&lt;4,P349&lt;&gt;"5A",P349&lt;&gt;"5B",P349&lt;&gt;"6A",P349&lt;&gt;"6B",V349="S",AA349&gt;=0),"-",
IF(AND(T349&gt;=4,AA349&gt;0, OR(Y349="TOT",Y349="PAR")),"-",
"Revisar el tipo de licencia medica, dias de licencia para el monto de recuperación declarado"))))))</f>
        <v>-</v>
      </c>
      <c r="BF349" s="86" t="str">
        <f t="shared" ref="BF349:BF354" si="188">IF(AB349="","Celda vacia",IF(ISNUMBER(AB349)=TRUE,IF(AB349=0,IF(OR(Y349="PEN",Y349="SDR"),"-","revisar "),IF(OR(Y349="TOT",Y349="PAR"),"-","Revisar")),"Valor del campo no es numérico"))</f>
        <v>-</v>
      </c>
    </row>
    <row r="350" spans="1:58" x14ac:dyDescent="0.2">
      <c r="A350" s="19" t="s">
        <v>1144</v>
      </c>
      <c r="B350" s="19" t="s">
        <v>76</v>
      </c>
      <c r="C350" s="19">
        <v>17311708</v>
      </c>
      <c r="D350" s="81">
        <v>6</v>
      </c>
      <c r="E350" s="19" t="s">
        <v>1681</v>
      </c>
      <c r="F350" s="19" t="s">
        <v>1682</v>
      </c>
      <c r="G350" s="19" t="s">
        <v>1683</v>
      </c>
      <c r="H350" s="19" t="s">
        <v>1033</v>
      </c>
      <c r="I350" s="19" t="s">
        <v>662</v>
      </c>
      <c r="J350" s="19">
        <v>80</v>
      </c>
      <c r="K350" s="19" t="s">
        <v>563</v>
      </c>
      <c r="L350" s="19" t="s">
        <v>502</v>
      </c>
      <c r="M350" s="19" t="s">
        <v>16</v>
      </c>
      <c r="N350" s="19">
        <v>45747</v>
      </c>
      <c r="O350" s="19">
        <v>11</v>
      </c>
      <c r="P350" s="81">
        <v>7</v>
      </c>
      <c r="Q350" s="19" t="s">
        <v>23</v>
      </c>
      <c r="R350" s="19" t="s">
        <v>11</v>
      </c>
      <c r="S350" s="19" t="s">
        <v>23</v>
      </c>
      <c r="T350" s="19">
        <v>11</v>
      </c>
      <c r="U350" s="19" t="s">
        <v>11</v>
      </c>
      <c r="V350" s="19" t="s">
        <v>11</v>
      </c>
      <c r="W350" s="19" t="s">
        <v>19</v>
      </c>
      <c r="X350" s="19">
        <v>1189892</v>
      </c>
      <c r="Y350" s="19" t="s">
        <v>735</v>
      </c>
      <c r="Z350" s="19">
        <v>11</v>
      </c>
      <c r="AA350" s="19">
        <v>1189892</v>
      </c>
      <c r="AB350" s="19">
        <v>1189892</v>
      </c>
      <c r="AC350" s="178" t="str">
        <f>IF(OR(M350="13",M350="14",P350=8),"",IF(AND(OR(S350="AUTORIZADO", S350="PENDIENTE", S350="REDUCIDO", S350="AMPLIADO"),L350&lt;&gt;"HONORARIO" ), CONCATENATE(IF(H350="X","H",H350),"_",IF(OR(P350=5,P350=6),_xlfn.CONCAT(P350,"A"),P350),"_",VLOOKUP(T350,Datos!$B$2:$C$5,2,TRUE)),""))</f>
        <v>M_7_[11 +]</v>
      </c>
      <c r="AD350" s="178">
        <f t="shared" si="162"/>
        <v>2379784</v>
      </c>
      <c r="AE350" s="82" t="str">
        <f t="shared" si="163"/>
        <v>-</v>
      </c>
      <c r="AF350" s="83" t="str">
        <f t="shared" si="164"/>
        <v>070601</v>
      </c>
      <c r="AG350" s="84"/>
      <c r="AH350" s="85" t="str">
        <f t="shared" si="165"/>
        <v>Corporación de Fomento de la Producción</v>
      </c>
      <c r="AI350" s="82" t="str">
        <f t="shared" si="166"/>
        <v>-</v>
      </c>
      <c r="AJ350" s="82">
        <f t="shared" si="167"/>
        <v>6</v>
      </c>
      <c r="AK350" s="82" t="str">
        <f t="shared" si="168"/>
        <v>-</v>
      </c>
      <c r="AL350" s="82" t="str">
        <f t="shared" si="169"/>
        <v>Identifica este registro como MUJER</v>
      </c>
      <c r="AM350" s="82" t="str">
        <f t="shared" si="170"/>
        <v>-</v>
      </c>
      <c r="AN350" s="82" t="str">
        <f t="shared" si="171"/>
        <v>-</v>
      </c>
      <c r="AO350" s="82" t="str">
        <f t="shared" si="172"/>
        <v>-</v>
      </c>
      <c r="AP350" s="57" t="str">
        <f t="shared" si="173"/>
        <v>-</v>
      </c>
      <c r="AQ350" s="86" t="str">
        <f t="shared" si="174"/>
        <v>-</v>
      </c>
      <c r="AR350" s="86" t="str">
        <f>IF(N350="","PRIMER_DIA en blanco",
IF(AND(M350="01",N350&gt;=L_Conversion!$C$118,N350&lt;=L_Conversion!$D$118),"-",
IF(AND(M350="02",N350&gt;=L_Conversion!$C$119,N350&lt;=L_Conversion!$D$119),"-",
IF(AND(M350="03",N350&gt;=L_Conversion!$C$120,N350&lt;=L_Conversion!$D$120),"-",
IF(AND(M350="04",N350&gt;=L_Conversion!$C$121,N350&lt;=L_Conversion!$D$121),"-",
IF(AND(M350="05",N350&gt;=L_Conversion!$C$122,N350&lt;=L_Conversion!$D$122),"-",
IF(AND(M350="06",N350&gt;=L_Conversion!$C$123,N350&lt;=L_Conversion!$D$123),"-",
IF(AND(M350="07",N350&gt;=L_Conversion!$C$124,N350&lt;=L_Conversion!$D$124),"-",
IF(AND(M350="08",N350&gt;=L_Conversion!$C$125,N350&lt;=L_Conversion!$D$125),"-",
IF(AND(M350="09",N350&gt;=L_Conversion!$C$126,N350&lt;=L_Conversion!$D$126),"-",
IF(AND(M350="10",N350&gt;=L_Conversion!$C$127,N350&lt;=L_Conversion!$D$127),"-",
IF(AND(M350="11",N350&gt;=L_Conversion!$C$128,N350&lt;=L_Conversion!$D$128),"-",
IF(AND(M350="12",N350&gt;=L_Conversion!$C$129,N350&lt;=L_Conversion!$D$129),"-",
IF(AND(M350="13",N350&gt;=L_Conversion!$C$116,N350&lt;=L_Conversion!$D$116),"-",
IF(AND(M350="14",N350&gt;=L_Conversion!$C$117,N350&lt;=L_Conversion!$D$117),"-",
"PRIMER_DIA fuera de rango")))))))))))))))</f>
        <v>-</v>
      </c>
      <c r="AS350" s="86" t="str">
        <f t="shared" si="175"/>
        <v>-</v>
      </c>
      <c r="AT350" s="86" t="str">
        <f t="shared" si="176"/>
        <v>-</v>
      </c>
      <c r="AU350" s="86" t="str">
        <f t="shared" si="177"/>
        <v>-</v>
      </c>
      <c r="AV350" s="86" t="str">
        <f t="shared" si="178"/>
        <v>-</v>
      </c>
      <c r="AW350" s="86" t="str">
        <f t="shared" si="179"/>
        <v>-</v>
      </c>
      <c r="AX350" s="86" t="str">
        <f t="shared" si="180"/>
        <v>-</v>
      </c>
      <c r="AY350" s="86" t="str">
        <f t="shared" si="181"/>
        <v>-</v>
      </c>
      <c r="AZ350" s="86" t="str">
        <f t="shared" si="182"/>
        <v>-</v>
      </c>
      <c r="BA350" s="86" t="str">
        <f t="shared" si="183"/>
        <v>-</v>
      </c>
      <c r="BB350" s="86" t="str">
        <f t="shared" si="184"/>
        <v>-</v>
      </c>
      <c r="BC350" s="86" t="str">
        <f t="shared" si="185"/>
        <v>-</v>
      </c>
      <c r="BD350" s="86" t="str">
        <f t="shared" si="186"/>
        <v>-</v>
      </c>
      <c r="BE350" s="86" t="str">
        <f t="shared" si="187"/>
        <v>-</v>
      </c>
      <c r="BF350" s="86" t="str">
        <f t="shared" si="188"/>
        <v>-</v>
      </c>
    </row>
    <row r="351" spans="1:58" x14ac:dyDescent="0.2">
      <c r="A351" s="19" t="s">
        <v>1144</v>
      </c>
      <c r="B351" s="19" t="s">
        <v>76</v>
      </c>
      <c r="C351" s="19">
        <v>18693838</v>
      </c>
      <c r="D351" s="81">
        <v>0</v>
      </c>
      <c r="E351" s="19" t="s">
        <v>1182</v>
      </c>
      <c r="F351" s="19" t="s">
        <v>1381</v>
      </c>
      <c r="G351" s="19" t="s">
        <v>1382</v>
      </c>
      <c r="H351" s="19" t="s">
        <v>1033</v>
      </c>
      <c r="I351" s="19" t="s">
        <v>662</v>
      </c>
      <c r="J351" s="19">
        <v>80</v>
      </c>
      <c r="K351" s="19" t="s">
        <v>563</v>
      </c>
      <c r="L351" s="19" t="s">
        <v>502</v>
      </c>
      <c r="M351" s="19" t="s">
        <v>16</v>
      </c>
      <c r="N351" s="19">
        <v>45747</v>
      </c>
      <c r="O351" s="19">
        <v>14</v>
      </c>
      <c r="P351" s="81">
        <v>1</v>
      </c>
      <c r="Q351" s="19" t="s">
        <v>23</v>
      </c>
      <c r="R351" s="19" t="s">
        <v>11</v>
      </c>
      <c r="S351" s="19" t="s">
        <v>23</v>
      </c>
      <c r="T351" s="19">
        <v>14</v>
      </c>
      <c r="U351" s="19" t="s">
        <v>11</v>
      </c>
      <c r="V351" s="19" t="s">
        <v>11</v>
      </c>
      <c r="W351" s="19" t="s">
        <v>19</v>
      </c>
      <c r="X351" s="19">
        <v>1106520</v>
      </c>
      <c r="Y351" s="19" t="s">
        <v>735</v>
      </c>
      <c r="Z351" s="19">
        <v>14</v>
      </c>
      <c r="AA351" s="19">
        <v>1106520</v>
      </c>
      <c r="AB351" s="19">
        <v>1106520</v>
      </c>
      <c r="AC351" s="178" t="str">
        <f>IF(OR(M351="13",M351="14",P351=8),"",IF(AND(OR(S351="AUTORIZADO", S351="PENDIENTE", S351="REDUCIDO", S351="AMPLIADO"),L351&lt;&gt;"HONORARIO" ), CONCATENATE(IF(H351="X","H",H351),"_",IF(OR(P351=5,P351=6),_xlfn.CONCAT(P351,"A"),P351),"_",VLOOKUP(T351,Datos!$B$2:$C$5,2,TRUE)),""))</f>
        <v>M_1_[11 +]</v>
      </c>
      <c r="AD351" s="178">
        <f t="shared" si="162"/>
        <v>2213040</v>
      </c>
      <c r="AE351" s="82" t="str">
        <f t="shared" si="163"/>
        <v>-</v>
      </c>
      <c r="AF351" s="83" t="str">
        <f t="shared" si="164"/>
        <v>070601</v>
      </c>
      <c r="AG351" s="84"/>
      <c r="AH351" s="85" t="str">
        <f t="shared" si="165"/>
        <v>Corporación de Fomento de la Producción</v>
      </c>
      <c r="AI351" s="82" t="str">
        <f t="shared" si="166"/>
        <v>-</v>
      </c>
      <c r="AJ351" s="82">
        <f t="shared" si="167"/>
        <v>0</v>
      </c>
      <c r="AK351" s="82" t="str">
        <f t="shared" si="168"/>
        <v>-</v>
      </c>
      <c r="AL351" s="82" t="str">
        <f t="shared" si="169"/>
        <v>Identifica este registro como MUJER</v>
      </c>
      <c r="AM351" s="82" t="str">
        <f t="shared" si="170"/>
        <v>-</v>
      </c>
      <c r="AN351" s="82" t="str">
        <f t="shared" si="171"/>
        <v>-</v>
      </c>
      <c r="AO351" s="82" t="str">
        <f t="shared" si="172"/>
        <v>-</v>
      </c>
      <c r="AP351" s="57" t="str">
        <f t="shared" si="173"/>
        <v>-</v>
      </c>
      <c r="AQ351" s="86" t="str">
        <f t="shared" si="174"/>
        <v>-</v>
      </c>
      <c r="AR351" s="86" t="str">
        <f>IF(N351="","PRIMER_DIA en blanco",
IF(AND(M351="01",N351&gt;=L_Conversion!$C$118,N351&lt;=L_Conversion!$D$118),"-",
IF(AND(M351="02",N351&gt;=L_Conversion!$C$119,N351&lt;=L_Conversion!$D$119),"-",
IF(AND(M351="03",N351&gt;=L_Conversion!$C$120,N351&lt;=L_Conversion!$D$120),"-",
IF(AND(M351="04",N351&gt;=L_Conversion!$C$121,N351&lt;=L_Conversion!$D$121),"-",
IF(AND(M351="05",N351&gt;=L_Conversion!$C$122,N351&lt;=L_Conversion!$D$122),"-",
IF(AND(M351="06",N351&gt;=L_Conversion!$C$123,N351&lt;=L_Conversion!$D$123),"-",
IF(AND(M351="07",N351&gt;=L_Conversion!$C$124,N351&lt;=L_Conversion!$D$124),"-",
IF(AND(M351="08",N351&gt;=L_Conversion!$C$125,N351&lt;=L_Conversion!$D$125),"-",
IF(AND(M351="09",N351&gt;=L_Conversion!$C$126,N351&lt;=L_Conversion!$D$126),"-",
IF(AND(M351="10",N351&gt;=L_Conversion!$C$127,N351&lt;=L_Conversion!$D$127),"-",
IF(AND(M351="11",N351&gt;=L_Conversion!$C$128,N351&lt;=L_Conversion!$D$128),"-",
IF(AND(M351="12",N351&gt;=L_Conversion!$C$129,N351&lt;=L_Conversion!$D$129),"-",
IF(AND(M351="13",N351&gt;=L_Conversion!$C$116,N351&lt;=L_Conversion!$D$116),"-",
IF(AND(M351="14",N351&gt;=L_Conversion!$C$117,N351&lt;=L_Conversion!$D$117),"-",
"PRIMER_DIA fuera de rango")))))))))))))))</f>
        <v>-</v>
      </c>
      <c r="AS351" s="86" t="str">
        <f t="shared" si="175"/>
        <v>-</v>
      </c>
      <c r="AT351" s="86" t="str">
        <f t="shared" si="176"/>
        <v>-</v>
      </c>
      <c r="AU351" s="86" t="str">
        <f t="shared" si="177"/>
        <v>-</v>
      </c>
      <c r="AV351" s="86" t="str">
        <f t="shared" si="178"/>
        <v>-</v>
      </c>
      <c r="AW351" s="86" t="str">
        <f t="shared" si="179"/>
        <v>-</v>
      </c>
      <c r="AX351" s="86" t="str">
        <f t="shared" si="180"/>
        <v>-</v>
      </c>
      <c r="AY351" s="86" t="str">
        <f t="shared" si="181"/>
        <v>-</v>
      </c>
      <c r="AZ351" s="86" t="str">
        <f t="shared" si="182"/>
        <v>-</v>
      </c>
      <c r="BA351" s="86" t="str">
        <f t="shared" si="183"/>
        <v>-</v>
      </c>
      <c r="BB351" s="86" t="str">
        <f t="shared" si="184"/>
        <v>-</v>
      </c>
      <c r="BC351" s="86" t="str">
        <f t="shared" si="185"/>
        <v>-</v>
      </c>
      <c r="BD351" s="86" t="str">
        <f t="shared" si="186"/>
        <v>-</v>
      </c>
      <c r="BE351" s="86" t="str">
        <f t="shared" si="187"/>
        <v>-</v>
      </c>
      <c r="BF351" s="86" t="str">
        <f t="shared" si="188"/>
        <v>-</v>
      </c>
    </row>
    <row r="352" spans="1:58" x14ac:dyDescent="0.2">
      <c r="A352" s="19" t="s">
        <v>1144</v>
      </c>
      <c r="B352" s="19" t="s">
        <v>678</v>
      </c>
      <c r="C352" s="19">
        <v>8705876</v>
      </c>
      <c r="D352" s="81" t="s">
        <v>1151</v>
      </c>
      <c r="E352" s="19" t="s">
        <v>1526</v>
      </c>
      <c r="F352" s="19" t="s">
        <v>1502</v>
      </c>
      <c r="G352" s="19" t="s">
        <v>1684</v>
      </c>
      <c r="H352" s="19" t="s">
        <v>663</v>
      </c>
      <c r="I352" s="19" t="s">
        <v>663</v>
      </c>
      <c r="J352" s="19">
        <v>80</v>
      </c>
      <c r="K352" s="19" t="s">
        <v>563</v>
      </c>
      <c r="L352" s="19" t="s">
        <v>516</v>
      </c>
      <c r="M352" s="19" t="s">
        <v>16</v>
      </c>
      <c r="N352" s="19">
        <v>45747</v>
      </c>
      <c r="O352" s="19">
        <v>3</v>
      </c>
      <c r="P352" s="81">
        <v>1</v>
      </c>
      <c r="Q352" s="19" t="s">
        <v>23</v>
      </c>
      <c r="R352" s="19" t="s">
        <v>11</v>
      </c>
      <c r="S352" s="19" t="s">
        <v>23</v>
      </c>
      <c r="T352" s="19">
        <v>3</v>
      </c>
      <c r="U352" s="19" t="s">
        <v>11</v>
      </c>
      <c r="V352" s="19" t="s">
        <v>19</v>
      </c>
      <c r="W352" s="19" t="s">
        <v>19</v>
      </c>
      <c r="X352" s="19">
        <v>120053</v>
      </c>
      <c r="Y352" s="19" t="s">
        <v>735</v>
      </c>
      <c r="Z352" s="19">
        <v>3</v>
      </c>
      <c r="AA352" s="19">
        <v>120053</v>
      </c>
      <c r="AB352" s="19">
        <v>120053</v>
      </c>
      <c r="AC352" s="178" t="str">
        <f>IF(OR(M352="13",M352="14",P352=8),"",IF(AND(OR(S352="AUTORIZADO", S352="PENDIENTE", S352="REDUCIDO", S352="AMPLIADO"),L352&lt;&gt;"HONORARIO" ), CONCATENATE(IF(H352="X","H",H352),"_",IF(OR(P352=5,P352=6),_xlfn.CONCAT(P352,"A"),P352),"_",VLOOKUP(T352,Datos!$B$2:$C$5,2,TRUE)),""))</f>
        <v>H_1_[hasta 3]</v>
      </c>
      <c r="AD352" s="178">
        <f t="shared" si="162"/>
        <v>240106</v>
      </c>
      <c r="AE352" s="82" t="str">
        <f t="shared" si="163"/>
        <v>-</v>
      </c>
      <c r="AF352" s="83" t="str">
        <f t="shared" si="164"/>
        <v>Revisar</v>
      </c>
      <c r="AG352" s="84"/>
      <c r="AH352" s="85" t="str">
        <f t="shared" si="165"/>
        <v>Corporación de Fomento de la Producción</v>
      </c>
      <c r="AI352" s="82" t="str">
        <f t="shared" si="166"/>
        <v>-</v>
      </c>
      <c r="AJ352" s="82" t="str">
        <f t="shared" si="167"/>
        <v>K</v>
      </c>
      <c r="AK352" s="82" t="str">
        <f t="shared" si="168"/>
        <v>-</v>
      </c>
      <c r="AL352" s="82" t="str">
        <f t="shared" si="169"/>
        <v>Identifica este registro como HOMBRE</v>
      </c>
      <c r="AM352" s="82" t="str">
        <f t="shared" si="170"/>
        <v>-</v>
      </c>
      <c r="AN352" s="82" t="str">
        <f t="shared" si="171"/>
        <v>-</v>
      </c>
      <c r="AO352" s="82" t="str">
        <f t="shared" si="172"/>
        <v>-</v>
      </c>
      <c r="AP352" s="57" t="str">
        <f t="shared" si="173"/>
        <v>-</v>
      </c>
      <c r="AQ352" s="86" t="str">
        <f t="shared" si="174"/>
        <v>-</v>
      </c>
      <c r="AR352" s="86" t="str">
        <f>IF(N352="","PRIMER_DIA en blanco",
IF(AND(M352="01",N352&gt;=L_Conversion!$C$118,N352&lt;=L_Conversion!$D$118),"-",
IF(AND(M352="02",N352&gt;=L_Conversion!$C$119,N352&lt;=L_Conversion!$D$119),"-",
IF(AND(M352="03",N352&gt;=L_Conversion!$C$120,N352&lt;=L_Conversion!$D$120),"-",
IF(AND(M352="04",N352&gt;=L_Conversion!$C$121,N352&lt;=L_Conversion!$D$121),"-",
IF(AND(M352="05",N352&gt;=L_Conversion!$C$122,N352&lt;=L_Conversion!$D$122),"-",
IF(AND(M352="06",N352&gt;=L_Conversion!$C$123,N352&lt;=L_Conversion!$D$123),"-",
IF(AND(M352="07",N352&gt;=L_Conversion!$C$124,N352&lt;=L_Conversion!$D$124),"-",
IF(AND(M352="08",N352&gt;=L_Conversion!$C$125,N352&lt;=L_Conversion!$D$125),"-",
IF(AND(M352="09",N352&gt;=L_Conversion!$C$126,N352&lt;=L_Conversion!$D$126),"-",
IF(AND(M352="10",N352&gt;=L_Conversion!$C$127,N352&lt;=L_Conversion!$D$127),"-",
IF(AND(M352="11",N352&gt;=L_Conversion!$C$128,N352&lt;=L_Conversion!$D$128),"-",
IF(AND(M352="12",N352&gt;=L_Conversion!$C$129,N352&lt;=L_Conversion!$D$129),"-",
IF(AND(M352="13",N352&gt;=L_Conversion!$C$116,N352&lt;=L_Conversion!$D$116),"-",
IF(AND(M352="14",N352&gt;=L_Conversion!$C$117,N352&lt;=L_Conversion!$D$117),"-",
"PRIMER_DIA fuera de rango")))))))))))))))</f>
        <v>-</v>
      </c>
      <c r="AS352" s="86" t="str">
        <f t="shared" si="175"/>
        <v>-</v>
      </c>
      <c r="AT352" s="86" t="str">
        <f t="shared" si="176"/>
        <v>-</v>
      </c>
      <c r="AU352" s="86" t="str">
        <f t="shared" si="177"/>
        <v>-</v>
      </c>
      <c r="AV352" s="86" t="str">
        <f t="shared" si="178"/>
        <v>-</v>
      </c>
      <c r="AW352" s="86" t="str">
        <f t="shared" si="179"/>
        <v>-</v>
      </c>
      <c r="AX352" s="86" t="str">
        <f t="shared" si="180"/>
        <v>-</v>
      </c>
      <c r="AY352" s="86" t="str">
        <f t="shared" si="181"/>
        <v>-</v>
      </c>
      <c r="AZ352" s="86" t="str">
        <f t="shared" si="182"/>
        <v>-</v>
      </c>
      <c r="BA352" s="86" t="str">
        <f t="shared" si="183"/>
        <v>-</v>
      </c>
      <c r="BB352" s="86" t="str">
        <f t="shared" si="184"/>
        <v>-</v>
      </c>
      <c r="BC352" s="86" t="str">
        <f t="shared" si="185"/>
        <v>-</v>
      </c>
      <c r="BD352" s="86" t="str">
        <f t="shared" si="186"/>
        <v>-</v>
      </c>
      <c r="BE352" s="86" t="str">
        <f t="shared" si="187"/>
        <v>-</v>
      </c>
      <c r="BF352" s="86" t="str">
        <f t="shared" si="188"/>
        <v>-</v>
      </c>
    </row>
    <row r="353" spans="1:58" x14ac:dyDescent="0.2">
      <c r="A353" s="19" t="s">
        <v>1144</v>
      </c>
      <c r="B353" s="19" t="s">
        <v>76</v>
      </c>
      <c r="C353" s="19">
        <v>9212310</v>
      </c>
      <c r="D353" s="81">
        <v>3</v>
      </c>
      <c r="E353" s="19" t="s">
        <v>1592</v>
      </c>
      <c r="F353" s="19" t="s">
        <v>1210</v>
      </c>
      <c r="G353" s="19" t="s">
        <v>1593</v>
      </c>
      <c r="H353" s="19" t="s">
        <v>663</v>
      </c>
      <c r="I353" s="19" t="s">
        <v>662</v>
      </c>
      <c r="J353" s="19">
        <v>60</v>
      </c>
      <c r="K353" s="19" t="s">
        <v>567</v>
      </c>
      <c r="L353" s="19" t="s">
        <v>497</v>
      </c>
      <c r="M353" s="19" t="s">
        <v>16</v>
      </c>
      <c r="N353" s="19">
        <v>45747</v>
      </c>
      <c r="O353" s="19">
        <v>21</v>
      </c>
      <c r="P353" s="81">
        <v>1</v>
      </c>
      <c r="Q353" s="19" t="s">
        <v>23</v>
      </c>
      <c r="R353" s="19" t="s">
        <v>11</v>
      </c>
      <c r="S353" s="19" t="s">
        <v>23</v>
      </c>
      <c r="T353" s="19">
        <v>21</v>
      </c>
      <c r="U353" s="19" t="s">
        <v>11</v>
      </c>
      <c r="V353" s="19" t="s">
        <v>11</v>
      </c>
      <c r="W353" s="19" t="s">
        <v>19</v>
      </c>
      <c r="X353" s="19">
        <v>1495575</v>
      </c>
      <c r="Y353" s="19" t="s">
        <v>735</v>
      </c>
      <c r="Z353" s="19">
        <v>21</v>
      </c>
      <c r="AA353" s="19">
        <v>1495575</v>
      </c>
      <c r="AB353" s="19">
        <v>1495575</v>
      </c>
      <c r="AC353" s="178" t="str">
        <f>IF(OR(M353="13",M353="14",P353=8),"",IF(AND(OR(S353="AUTORIZADO", S353="PENDIENTE", S353="REDUCIDO", S353="AMPLIADO"),L353&lt;&gt;"HONORARIO" ), CONCATENATE(IF(H353="X","H",H353),"_",IF(OR(P353=5,P353=6),_xlfn.CONCAT(P353,"A"),P353),"_",VLOOKUP(T353,Datos!$B$2:$C$5,2,TRUE)),""))</f>
        <v>H_1_[11 +]</v>
      </c>
      <c r="AD353" s="178">
        <f t="shared" si="162"/>
        <v>2991150</v>
      </c>
      <c r="AE353" s="82" t="str">
        <f t="shared" si="163"/>
        <v>-</v>
      </c>
      <c r="AF353" s="83" t="str">
        <f t="shared" si="164"/>
        <v>070601</v>
      </c>
      <c r="AG353" s="84"/>
      <c r="AH353" s="85" t="str">
        <f t="shared" si="165"/>
        <v>Corporación de Fomento de la Producción</v>
      </c>
      <c r="AI353" s="82" t="str">
        <f t="shared" si="166"/>
        <v>-</v>
      </c>
      <c r="AJ353" s="82">
        <f t="shared" si="167"/>
        <v>3</v>
      </c>
      <c r="AK353" s="82" t="str">
        <f t="shared" si="168"/>
        <v>-</v>
      </c>
      <c r="AL353" s="82" t="str">
        <f t="shared" si="169"/>
        <v>Identifica este registro como HOMBRE</v>
      </c>
      <c r="AM353" s="82" t="str">
        <f t="shared" si="170"/>
        <v>-</v>
      </c>
      <c r="AN353" s="82" t="str">
        <f t="shared" si="171"/>
        <v>-</v>
      </c>
      <c r="AO353" s="82" t="str">
        <f t="shared" si="172"/>
        <v>-</v>
      </c>
      <c r="AP353" s="57" t="str">
        <f t="shared" si="173"/>
        <v>-</v>
      </c>
      <c r="AQ353" s="86" t="str">
        <f t="shared" si="174"/>
        <v>-</v>
      </c>
      <c r="AR353" s="86" t="str">
        <f>IF(N353="","PRIMER_DIA en blanco",
IF(AND(M353="01",N353&gt;=L_Conversion!$C$118,N353&lt;=L_Conversion!$D$118),"-",
IF(AND(M353="02",N353&gt;=L_Conversion!$C$119,N353&lt;=L_Conversion!$D$119),"-",
IF(AND(M353="03",N353&gt;=L_Conversion!$C$120,N353&lt;=L_Conversion!$D$120),"-",
IF(AND(M353="04",N353&gt;=L_Conversion!$C$121,N353&lt;=L_Conversion!$D$121),"-",
IF(AND(M353="05",N353&gt;=L_Conversion!$C$122,N353&lt;=L_Conversion!$D$122),"-",
IF(AND(M353="06",N353&gt;=L_Conversion!$C$123,N353&lt;=L_Conversion!$D$123),"-",
IF(AND(M353="07",N353&gt;=L_Conversion!$C$124,N353&lt;=L_Conversion!$D$124),"-",
IF(AND(M353="08",N353&gt;=L_Conversion!$C$125,N353&lt;=L_Conversion!$D$125),"-",
IF(AND(M353="09",N353&gt;=L_Conversion!$C$126,N353&lt;=L_Conversion!$D$126),"-",
IF(AND(M353="10",N353&gt;=L_Conversion!$C$127,N353&lt;=L_Conversion!$D$127),"-",
IF(AND(M353="11",N353&gt;=L_Conversion!$C$128,N353&lt;=L_Conversion!$D$128),"-",
IF(AND(M353="12",N353&gt;=L_Conversion!$C$129,N353&lt;=L_Conversion!$D$129),"-",
IF(AND(M353="13",N353&gt;=L_Conversion!$C$116,N353&lt;=L_Conversion!$D$116),"-",
IF(AND(M353="14",N353&gt;=L_Conversion!$C$117,N353&lt;=L_Conversion!$D$117),"-",
"PRIMER_DIA fuera de rango")))))))))))))))</f>
        <v>-</v>
      </c>
      <c r="AS353" s="86" t="str">
        <f t="shared" si="175"/>
        <v>-</v>
      </c>
      <c r="AT353" s="86" t="str">
        <f t="shared" si="176"/>
        <v>-</v>
      </c>
      <c r="AU353" s="86" t="str">
        <f t="shared" si="177"/>
        <v>-</v>
      </c>
      <c r="AV353" s="86" t="str">
        <f t="shared" si="178"/>
        <v>-</v>
      </c>
      <c r="AW353" s="86" t="str">
        <f t="shared" si="179"/>
        <v>-</v>
      </c>
      <c r="AX353" s="86" t="str">
        <f t="shared" si="180"/>
        <v>-</v>
      </c>
      <c r="AY353" s="86" t="str">
        <f t="shared" si="181"/>
        <v>-</v>
      </c>
      <c r="AZ353" s="86" t="str">
        <f t="shared" si="182"/>
        <v>-</v>
      </c>
      <c r="BA353" s="86" t="str">
        <f t="shared" si="183"/>
        <v>-</v>
      </c>
      <c r="BB353" s="86" t="str">
        <f t="shared" si="184"/>
        <v>-</v>
      </c>
      <c r="BC353" s="86" t="str">
        <f t="shared" si="185"/>
        <v>-</v>
      </c>
      <c r="BD353" s="86" t="str">
        <f t="shared" si="186"/>
        <v>-</v>
      </c>
      <c r="BE353" s="86" t="str">
        <f t="shared" si="187"/>
        <v>-</v>
      </c>
      <c r="BF353" s="86" t="str">
        <f t="shared" si="188"/>
        <v>-</v>
      </c>
    </row>
    <row r="354" spans="1:58" x14ac:dyDescent="0.2">
      <c r="A354" s="19" t="s">
        <v>1144</v>
      </c>
      <c r="B354" s="19" t="s">
        <v>76</v>
      </c>
      <c r="C354" s="19">
        <v>11897179</v>
      </c>
      <c r="D354" s="81">
        <v>5</v>
      </c>
      <c r="E354" s="19" t="s">
        <v>1442</v>
      </c>
      <c r="F354" s="19" t="s">
        <v>1175</v>
      </c>
      <c r="G354" s="19" t="s">
        <v>1443</v>
      </c>
      <c r="H354" s="19" t="s">
        <v>1033</v>
      </c>
      <c r="I354" s="19" t="s">
        <v>662</v>
      </c>
      <c r="J354" s="19">
        <v>80</v>
      </c>
      <c r="K354" s="19" t="s">
        <v>567</v>
      </c>
      <c r="L354" s="19" t="s">
        <v>502</v>
      </c>
      <c r="M354" s="19" t="s">
        <v>16</v>
      </c>
      <c r="N354" s="19">
        <v>45747</v>
      </c>
      <c r="O354" s="19">
        <v>14</v>
      </c>
      <c r="P354" s="81">
        <v>1</v>
      </c>
      <c r="Q354" s="19" t="s">
        <v>23</v>
      </c>
      <c r="R354" s="19" t="s">
        <v>11</v>
      </c>
      <c r="S354" s="19" t="s">
        <v>23</v>
      </c>
      <c r="T354" s="19">
        <v>14</v>
      </c>
      <c r="U354" s="19" t="s">
        <v>11</v>
      </c>
      <c r="V354" s="19" t="s">
        <v>11</v>
      </c>
      <c r="W354" s="19" t="s">
        <v>19</v>
      </c>
      <c r="X354" s="19">
        <v>746352</v>
      </c>
      <c r="Y354" s="19" t="s">
        <v>735</v>
      </c>
      <c r="Z354" s="19">
        <v>14</v>
      </c>
      <c r="AA354" s="19">
        <v>746352</v>
      </c>
      <c r="AB354" s="19">
        <v>746352</v>
      </c>
      <c r="AC354" s="178" t="str">
        <f>IF(OR(M354="13",M354="14",P354=8),"",IF(AND(OR(S354="AUTORIZADO", S354="PENDIENTE", S354="REDUCIDO", S354="AMPLIADO"),L354&lt;&gt;"HONORARIO" ), CONCATENATE(IF(H354="X","H",H354),"_",IF(OR(P354=5,P354=6),_xlfn.CONCAT(P354,"A"),P354),"_",VLOOKUP(T354,Datos!$B$2:$C$5,2,TRUE)),""))</f>
        <v>M_1_[11 +]</v>
      </c>
      <c r="AD354" s="178">
        <f t="shared" si="162"/>
        <v>1492704</v>
      </c>
      <c r="AE354" s="82" t="str">
        <f t="shared" si="163"/>
        <v>-</v>
      </c>
      <c r="AF354" s="83" t="str">
        <f t="shared" si="164"/>
        <v>070601</v>
      </c>
      <c r="AG354" s="84"/>
      <c r="AH354" s="85" t="str">
        <f t="shared" si="165"/>
        <v>Corporación de Fomento de la Producción</v>
      </c>
      <c r="AI354" s="82" t="str">
        <f t="shared" si="166"/>
        <v>-</v>
      </c>
      <c r="AJ354" s="82">
        <f t="shared" si="167"/>
        <v>5</v>
      </c>
      <c r="AK354" s="82" t="str">
        <f t="shared" si="168"/>
        <v>-</v>
      </c>
      <c r="AL354" s="82" t="str">
        <f t="shared" si="169"/>
        <v>Identifica este registro como MUJER</v>
      </c>
      <c r="AM354" s="82" t="str">
        <f t="shared" si="170"/>
        <v>-</v>
      </c>
      <c r="AN354" s="82" t="str">
        <f t="shared" si="171"/>
        <v>-</v>
      </c>
      <c r="AO354" s="82" t="str">
        <f t="shared" si="172"/>
        <v>-</v>
      </c>
      <c r="AP354" s="57" t="str">
        <f t="shared" si="173"/>
        <v>-</v>
      </c>
      <c r="AQ354" s="86" t="str">
        <f t="shared" si="174"/>
        <v>-</v>
      </c>
      <c r="AR354" s="86" t="str">
        <f>IF(N354="","PRIMER_DIA en blanco",
IF(AND(M354="01",N354&gt;=L_Conversion!$C$118,N354&lt;=L_Conversion!$D$118),"-",
IF(AND(M354="02",N354&gt;=L_Conversion!$C$119,N354&lt;=L_Conversion!$D$119),"-",
IF(AND(M354="03",N354&gt;=L_Conversion!$C$120,N354&lt;=L_Conversion!$D$120),"-",
IF(AND(M354="04",N354&gt;=L_Conversion!$C$121,N354&lt;=L_Conversion!$D$121),"-",
IF(AND(M354="05",N354&gt;=L_Conversion!$C$122,N354&lt;=L_Conversion!$D$122),"-",
IF(AND(M354="06",N354&gt;=L_Conversion!$C$123,N354&lt;=L_Conversion!$D$123),"-",
IF(AND(M354="07",N354&gt;=L_Conversion!$C$124,N354&lt;=L_Conversion!$D$124),"-",
IF(AND(M354="08",N354&gt;=L_Conversion!$C$125,N354&lt;=L_Conversion!$D$125),"-",
IF(AND(M354="09",N354&gt;=L_Conversion!$C$126,N354&lt;=L_Conversion!$D$126),"-",
IF(AND(M354="10",N354&gt;=L_Conversion!$C$127,N354&lt;=L_Conversion!$D$127),"-",
IF(AND(M354="11",N354&gt;=L_Conversion!$C$128,N354&lt;=L_Conversion!$D$128),"-",
IF(AND(M354="12",N354&gt;=L_Conversion!$C$129,N354&lt;=L_Conversion!$D$129),"-",
IF(AND(M354="13",N354&gt;=L_Conversion!$C$116,N354&lt;=L_Conversion!$D$116),"-",
IF(AND(M354="14",N354&gt;=L_Conversion!$C$117,N354&lt;=L_Conversion!$D$117),"-",
"PRIMER_DIA fuera de rango")))))))))))))))</f>
        <v>-</v>
      </c>
      <c r="AS354" s="86" t="str">
        <f t="shared" si="175"/>
        <v>-</v>
      </c>
      <c r="AT354" s="86" t="str">
        <f t="shared" si="176"/>
        <v>-</v>
      </c>
      <c r="AU354" s="86" t="str">
        <f t="shared" si="177"/>
        <v>-</v>
      </c>
      <c r="AV354" s="86" t="str">
        <f t="shared" si="178"/>
        <v>-</v>
      </c>
      <c r="AW354" s="86" t="str">
        <f t="shared" si="179"/>
        <v>-</v>
      </c>
      <c r="AX354" s="86" t="str">
        <f t="shared" si="180"/>
        <v>-</v>
      </c>
      <c r="AY354" s="86" t="str">
        <f t="shared" si="181"/>
        <v>-</v>
      </c>
      <c r="AZ354" s="86" t="str">
        <f t="shared" si="182"/>
        <v>-</v>
      </c>
      <c r="BA354" s="86" t="str">
        <f t="shared" si="183"/>
        <v>-</v>
      </c>
      <c r="BB354" s="86" t="str">
        <f t="shared" si="184"/>
        <v>-</v>
      </c>
      <c r="BC354" s="86" t="str">
        <f t="shared" si="185"/>
        <v>-</v>
      </c>
      <c r="BD354" s="86" t="str">
        <f t="shared" si="186"/>
        <v>-</v>
      </c>
      <c r="BE354" s="86" t="str">
        <f t="shared" si="187"/>
        <v>-</v>
      </c>
      <c r="BF354" s="86" t="str">
        <f t="shared" si="188"/>
        <v>-</v>
      </c>
    </row>
  </sheetData>
  <autoFilter ref="A1:BG354" xr:uid="{00000000-0001-0000-0000-000000000000}"/>
  <sortState xmlns:xlrd2="http://schemas.microsoft.com/office/spreadsheetml/2017/richdata2" ref="A2:AB156">
    <sortCondition ref="P2:P156"/>
    <sortCondition ref="O2:O156"/>
    <sortCondition ref="E2:E156"/>
    <sortCondition ref="F2:F156"/>
    <sortCondition ref="G2:G156"/>
  </sortState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tabSelected="1" view="pageBreakPreview" zoomScale="90" zoomScaleNormal="90" zoomScaleSheetLayoutView="90" workbookViewId="0">
      <selection activeCell="O43" sqref="O43"/>
    </sheetView>
  </sheetViews>
  <sheetFormatPr baseColWidth="10" defaultRowHeight="15" x14ac:dyDescent="0.25"/>
  <cols>
    <col min="1" max="1" width="38.7109375" customWidth="1"/>
    <col min="2" max="4" width="13.85546875" customWidth="1"/>
    <col min="5" max="5" width="14" customWidth="1"/>
    <col min="6" max="8" width="13.85546875" customWidth="1"/>
    <col min="9" max="9" width="14.7109375" customWidth="1"/>
    <col min="10" max="11" width="13.85546875" customWidth="1"/>
    <col min="12" max="12" width="15.7109375" customWidth="1"/>
    <col min="13" max="13" width="14.7109375" customWidth="1"/>
  </cols>
  <sheetData>
    <row r="1" spans="1:13" x14ac:dyDescent="0.25">
      <c r="A1" s="147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ht="18.75" x14ac:dyDescent="0.3">
      <c r="A2" s="216" t="str">
        <f>+_xlfn.CONCAT("1.-Número de días de licencia médica presentadas entre Enero y ",Datos!$D$197," de 2025,  según género del funcionario afecto, tipo y rango de duración de la licencia médica")</f>
        <v>1.-Número de días de licencia médica presentadas entre Enero y Marzo de 2025,  según género del funcionario afecto, tipo y rango de duración de la licencia médica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</row>
    <row r="3" spans="1:13" ht="18.75" x14ac:dyDescent="0.3">
      <c r="A3" s="148"/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13" x14ac:dyDescent="0.25">
      <c r="A4" s="217" t="s">
        <v>1127</v>
      </c>
      <c r="B4" s="218" t="s">
        <v>1128</v>
      </c>
      <c r="C4" s="219"/>
      <c r="D4" s="219"/>
      <c r="E4" s="219"/>
      <c r="F4" s="219"/>
      <c r="G4" s="219"/>
      <c r="H4" s="219"/>
      <c r="I4" s="220"/>
      <c r="J4" s="221" t="s">
        <v>1112</v>
      </c>
      <c r="K4" s="222"/>
      <c r="L4" s="222"/>
      <c r="M4" s="223"/>
    </row>
    <row r="5" spans="1:13" x14ac:dyDescent="0.25">
      <c r="A5" s="217"/>
      <c r="B5" s="227" t="s">
        <v>1129</v>
      </c>
      <c r="C5" s="228"/>
      <c r="D5" s="228"/>
      <c r="E5" s="229"/>
      <c r="F5" s="227" t="s">
        <v>1114</v>
      </c>
      <c r="G5" s="228"/>
      <c r="H5" s="228"/>
      <c r="I5" s="229"/>
      <c r="J5" s="224"/>
      <c r="K5" s="225"/>
      <c r="L5" s="225"/>
      <c r="M5" s="226"/>
    </row>
    <row r="6" spans="1:13" ht="60" x14ac:dyDescent="0.25">
      <c r="A6" s="217"/>
      <c r="B6" s="198" t="s">
        <v>1130</v>
      </c>
      <c r="C6" s="199" t="s">
        <v>1131</v>
      </c>
      <c r="D6" s="200" t="s">
        <v>1132</v>
      </c>
      <c r="E6" s="201" t="s">
        <v>734</v>
      </c>
      <c r="F6" s="198" t="s">
        <v>1130</v>
      </c>
      <c r="G6" s="199" t="s">
        <v>1131</v>
      </c>
      <c r="H6" s="200" t="s">
        <v>1132</v>
      </c>
      <c r="I6" s="201" t="s">
        <v>734</v>
      </c>
      <c r="J6" s="198" t="s">
        <v>1130</v>
      </c>
      <c r="K6" s="199" t="s">
        <v>1131</v>
      </c>
      <c r="L6" s="200" t="s">
        <v>1132</v>
      </c>
      <c r="M6" s="149" t="s">
        <v>734</v>
      </c>
    </row>
    <row r="7" spans="1:13" ht="15.75" x14ac:dyDescent="0.25">
      <c r="A7" s="151" t="s">
        <v>275</v>
      </c>
      <c r="B7" s="152">
        <f>Datos!D111+Datos!D112</f>
        <v>98</v>
      </c>
      <c r="C7" s="153">
        <f>Datos!E111+Datos!E112</f>
        <v>93</v>
      </c>
      <c r="D7" s="154">
        <f>Datos!F111+Datos!F112</f>
        <v>883</v>
      </c>
      <c r="E7" s="155">
        <f t="shared" ref="E7:E14" si="0">SUM(B7:D7)</f>
        <v>1074</v>
      </c>
      <c r="F7" s="152">
        <f>Datos!H111+Datos!H112</f>
        <v>226</v>
      </c>
      <c r="G7" s="153">
        <f>Datos!I111+Datos!I112</f>
        <v>188</v>
      </c>
      <c r="H7" s="154">
        <f>Datos!J111+Datos!J112</f>
        <v>1532</v>
      </c>
      <c r="I7" s="155">
        <f t="shared" ref="I7:I14" si="1">SUM(F7:H7)</f>
        <v>1946</v>
      </c>
      <c r="J7" s="152">
        <f t="shared" ref="J7:L13" si="2">B7+F7</f>
        <v>324</v>
      </c>
      <c r="K7" s="153">
        <f t="shared" si="2"/>
        <v>281</v>
      </c>
      <c r="L7" s="154">
        <f t="shared" si="2"/>
        <v>2415</v>
      </c>
      <c r="M7" s="155">
        <f t="shared" ref="M7:M14" si="3">+J7+K7+L7</f>
        <v>3020</v>
      </c>
    </row>
    <row r="8" spans="1:13" ht="15.75" x14ac:dyDescent="0.25">
      <c r="A8" s="157" t="s">
        <v>1118</v>
      </c>
      <c r="B8" s="158">
        <f>Datos!D113</f>
        <v>2</v>
      </c>
      <c r="C8" s="159">
        <f>Datos!E113</f>
        <v>0</v>
      </c>
      <c r="D8" s="160">
        <f>Datos!F113</f>
        <v>0</v>
      </c>
      <c r="E8" s="161">
        <f t="shared" si="0"/>
        <v>2</v>
      </c>
      <c r="F8" s="158">
        <f>Datos!H113</f>
        <v>0</v>
      </c>
      <c r="G8" s="159">
        <f>Datos!I113</f>
        <v>0</v>
      </c>
      <c r="H8" s="160">
        <f>Datos!J113</f>
        <v>599</v>
      </c>
      <c r="I8" s="161">
        <f t="shared" si="1"/>
        <v>599</v>
      </c>
      <c r="J8" s="158">
        <f t="shared" si="2"/>
        <v>2</v>
      </c>
      <c r="K8" s="159">
        <f t="shared" si="2"/>
        <v>0</v>
      </c>
      <c r="L8" s="160">
        <f t="shared" si="2"/>
        <v>599</v>
      </c>
      <c r="M8" s="161">
        <f t="shared" si="3"/>
        <v>601</v>
      </c>
    </row>
    <row r="9" spans="1:13" ht="15.75" x14ac:dyDescent="0.25">
      <c r="A9" s="157" t="s">
        <v>278</v>
      </c>
      <c r="B9" s="158">
        <f>Datos!D114</f>
        <v>0</v>
      </c>
      <c r="C9" s="159">
        <f>Datos!E114</f>
        <v>0</v>
      </c>
      <c r="D9" s="160">
        <f>Datos!F114</f>
        <v>0</v>
      </c>
      <c r="E9" s="161">
        <f t="shared" si="0"/>
        <v>0</v>
      </c>
      <c r="F9" s="158">
        <f>Datos!H114</f>
        <v>0</v>
      </c>
      <c r="G9" s="159">
        <f>Datos!I114</f>
        <v>35</v>
      </c>
      <c r="H9" s="160">
        <f>Datos!J114</f>
        <v>150</v>
      </c>
      <c r="I9" s="161">
        <f t="shared" si="1"/>
        <v>185</v>
      </c>
      <c r="J9" s="158">
        <f t="shared" si="2"/>
        <v>0</v>
      </c>
      <c r="K9" s="159">
        <f t="shared" si="2"/>
        <v>35</v>
      </c>
      <c r="L9" s="160">
        <f t="shared" si="2"/>
        <v>150</v>
      </c>
      <c r="M9" s="161">
        <f t="shared" si="3"/>
        <v>185</v>
      </c>
    </row>
    <row r="10" spans="1:13" ht="15.75" x14ac:dyDescent="0.25">
      <c r="A10" s="157" t="s">
        <v>1134</v>
      </c>
      <c r="B10" s="158">
        <f>Datos!D115+Datos!D116</f>
        <v>0</v>
      </c>
      <c r="C10" s="159">
        <f>Datos!E115+Datos!E116</f>
        <v>0</v>
      </c>
      <c r="D10" s="160">
        <f>Datos!F115+Datos!F116</f>
        <v>0</v>
      </c>
      <c r="E10" s="161">
        <f t="shared" si="0"/>
        <v>0</v>
      </c>
      <c r="F10" s="158">
        <f>Datos!H115+Datos!H116</f>
        <v>0</v>
      </c>
      <c r="G10" s="159">
        <f>Datos!I115+Datos!I116</f>
        <v>0</v>
      </c>
      <c r="H10" s="160">
        <f>Datos!J115+Datos!J116</f>
        <v>0</v>
      </c>
      <c r="I10" s="161">
        <f t="shared" si="1"/>
        <v>0</v>
      </c>
      <c r="J10" s="158">
        <f t="shared" si="2"/>
        <v>0</v>
      </c>
      <c r="K10" s="159">
        <f t="shared" si="2"/>
        <v>0</v>
      </c>
      <c r="L10" s="160">
        <f t="shared" si="2"/>
        <v>0</v>
      </c>
      <c r="M10" s="161">
        <f t="shared" si="3"/>
        <v>0</v>
      </c>
    </row>
    <row r="11" spans="1:13" ht="15.75" x14ac:dyDescent="0.25">
      <c r="A11" s="157" t="s">
        <v>1135</v>
      </c>
      <c r="B11" s="158">
        <f>Datos!D117+Datos!D118</f>
        <v>0</v>
      </c>
      <c r="C11" s="159">
        <f>Datos!E117+Datos!E118</f>
        <v>0</v>
      </c>
      <c r="D11" s="160">
        <f>Datos!F117+Datos!F118</f>
        <v>0</v>
      </c>
      <c r="E11" s="161">
        <f t="shared" si="0"/>
        <v>0</v>
      </c>
      <c r="F11" s="158">
        <f>Datos!H117+Datos!H118</f>
        <v>0</v>
      </c>
      <c r="G11" s="159">
        <f>Datos!I117+Datos!I118</f>
        <v>0</v>
      </c>
      <c r="H11" s="160">
        <f>Datos!J117+Datos!J118</f>
        <v>0</v>
      </c>
      <c r="I11" s="161">
        <f t="shared" si="1"/>
        <v>0</v>
      </c>
      <c r="J11" s="158">
        <f t="shared" si="2"/>
        <v>0</v>
      </c>
      <c r="K11" s="159">
        <f t="shared" si="2"/>
        <v>0</v>
      </c>
      <c r="L11" s="160">
        <f t="shared" si="2"/>
        <v>0</v>
      </c>
      <c r="M11" s="161">
        <f t="shared" si="3"/>
        <v>0</v>
      </c>
    </row>
    <row r="12" spans="1:13" ht="15.75" x14ac:dyDescent="0.25">
      <c r="A12" s="157" t="s">
        <v>279</v>
      </c>
      <c r="B12" s="158">
        <f>Datos!D119</f>
        <v>0</v>
      </c>
      <c r="C12" s="159">
        <f>Datos!E119</f>
        <v>0</v>
      </c>
      <c r="D12" s="160">
        <f>Datos!F119</f>
        <v>0</v>
      </c>
      <c r="E12" s="161">
        <f t="shared" si="0"/>
        <v>0</v>
      </c>
      <c r="F12" s="158">
        <f>Datos!H119</f>
        <v>0</v>
      </c>
      <c r="G12" s="159">
        <f>Datos!I119</f>
        <v>6</v>
      </c>
      <c r="H12" s="160">
        <f>Datos!J119</f>
        <v>38</v>
      </c>
      <c r="I12" s="161">
        <f t="shared" si="1"/>
        <v>44</v>
      </c>
      <c r="J12" s="158">
        <f t="shared" si="2"/>
        <v>0</v>
      </c>
      <c r="K12" s="159">
        <f t="shared" si="2"/>
        <v>6</v>
      </c>
      <c r="L12" s="160">
        <f t="shared" si="2"/>
        <v>38</v>
      </c>
      <c r="M12" s="161">
        <f t="shared" si="3"/>
        <v>44</v>
      </c>
    </row>
    <row r="13" spans="1:13" ht="15.75" x14ac:dyDescent="0.25">
      <c r="A13" s="157" t="s">
        <v>1143</v>
      </c>
      <c r="B13" s="158">
        <f>SUM(Datos!D121:D124)</f>
        <v>0</v>
      </c>
      <c r="C13" s="159">
        <f>SUM(Datos!E121:E124)</f>
        <v>0</v>
      </c>
      <c r="D13" s="160">
        <f>SUM(Datos!F121:F124)</f>
        <v>0</v>
      </c>
      <c r="E13" s="161">
        <f t="shared" si="0"/>
        <v>0</v>
      </c>
      <c r="F13" s="158">
        <f>SUM(Datos!H121:H124)</f>
        <v>0</v>
      </c>
      <c r="G13" s="159">
        <f>SUM(Datos!I121:I124)</f>
        <v>0</v>
      </c>
      <c r="H13" s="160">
        <f>SUM(Datos!J121:J124)</f>
        <v>0</v>
      </c>
      <c r="I13" s="161">
        <f t="shared" si="1"/>
        <v>0</v>
      </c>
      <c r="J13" s="158">
        <f t="shared" si="2"/>
        <v>0</v>
      </c>
      <c r="K13" s="159">
        <f t="shared" si="2"/>
        <v>0</v>
      </c>
      <c r="L13" s="160">
        <f t="shared" si="2"/>
        <v>0</v>
      </c>
      <c r="M13" s="161">
        <f t="shared" si="3"/>
        <v>0</v>
      </c>
    </row>
    <row r="14" spans="1:13" ht="15.75" x14ac:dyDescent="0.25">
      <c r="A14" s="180" t="s">
        <v>1112</v>
      </c>
      <c r="B14" s="181">
        <f>SUM(B7:B13)</f>
        <v>100</v>
      </c>
      <c r="C14" s="182">
        <f>SUM(C7:C13)</f>
        <v>93</v>
      </c>
      <c r="D14" s="183">
        <f>SUM(D7:D13)</f>
        <v>883</v>
      </c>
      <c r="E14" s="184">
        <f t="shared" si="0"/>
        <v>1076</v>
      </c>
      <c r="F14" s="181">
        <f>SUM(F7:F13)</f>
        <v>226</v>
      </c>
      <c r="G14" s="182">
        <f>SUM(G7:G13)</f>
        <v>229</v>
      </c>
      <c r="H14" s="183">
        <f>SUM(H7:H13)</f>
        <v>2319</v>
      </c>
      <c r="I14" s="184">
        <f t="shared" si="1"/>
        <v>2774</v>
      </c>
      <c r="J14" s="181">
        <f>SUM(J7:J13)</f>
        <v>326</v>
      </c>
      <c r="K14" s="182">
        <f>SUM(K7:K13)</f>
        <v>322</v>
      </c>
      <c r="L14" s="183">
        <f>SUM(L7:L13)</f>
        <v>3202</v>
      </c>
      <c r="M14" s="184">
        <f t="shared" si="3"/>
        <v>3850</v>
      </c>
    </row>
    <row r="15" spans="1:13" ht="15.75" x14ac:dyDescent="0.25">
      <c r="A15" s="195" t="s">
        <v>1137</v>
      </c>
      <c r="B15" s="193"/>
      <c r="C15" s="194"/>
      <c r="D15" s="194"/>
      <c r="E15" s="185">
        <f>+E14/$M$14</f>
        <v>0.2794805194805195</v>
      </c>
      <c r="F15" s="193"/>
      <c r="G15" s="194"/>
      <c r="H15" s="194"/>
      <c r="I15" s="185">
        <f>+I14/$M$14</f>
        <v>0.72051948051948056</v>
      </c>
      <c r="J15" s="193"/>
      <c r="K15" s="194"/>
      <c r="L15" s="194"/>
      <c r="M15" s="185">
        <f>+M14/$M$14</f>
        <v>1</v>
      </c>
    </row>
    <row r="16" spans="1:13" x14ac:dyDescent="0.25">
      <c r="A16" s="147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</row>
    <row r="17" spans="1:13" ht="18.75" x14ac:dyDescent="0.3">
      <c r="A17" s="216" t="str">
        <f>_xlfn.CONCAT("2.-Número de licencias médicas presentadas entre Enero y ",Datos!$D$197," de 2025, según género del funcionario afecto, tipo y rango de duración de la licencia médica")</f>
        <v>2.-Número de licencias médicas presentadas entre Enero y Marzo de 2025, según género del funcionario afecto, tipo y rango de duración de la licencia médica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</row>
    <row r="18" spans="1:13" x14ac:dyDescent="0.25">
      <c r="A18" s="147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</row>
    <row r="19" spans="1:13" x14ac:dyDescent="0.25">
      <c r="A19" s="230" t="s">
        <v>257</v>
      </c>
      <c r="B19" s="218" t="s">
        <v>1128</v>
      </c>
      <c r="C19" s="219"/>
      <c r="D19" s="219"/>
      <c r="E19" s="219"/>
      <c r="F19" s="219"/>
      <c r="G19" s="219"/>
      <c r="H19" s="219"/>
      <c r="I19" s="220"/>
      <c r="J19" s="221" t="s">
        <v>1112</v>
      </c>
      <c r="K19" s="222"/>
      <c r="L19" s="222"/>
      <c r="M19" s="223"/>
    </row>
    <row r="20" spans="1:13" x14ac:dyDescent="0.25">
      <c r="A20" s="230"/>
      <c r="B20" s="227" t="s">
        <v>1129</v>
      </c>
      <c r="C20" s="228"/>
      <c r="D20" s="228"/>
      <c r="E20" s="229"/>
      <c r="F20" s="227" t="s">
        <v>1114</v>
      </c>
      <c r="G20" s="228"/>
      <c r="H20" s="228"/>
      <c r="I20" s="229"/>
      <c r="J20" s="224"/>
      <c r="K20" s="225"/>
      <c r="L20" s="225"/>
      <c r="M20" s="226"/>
    </row>
    <row r="21" spans="1:13" ht="60" x14ac:dyDescent="0.25">
      <c r="A21" s="230"/>
      <c r="B21" s="198" t="s">
        <v>1130</v>
      </c>
      <c r="C21" s="199" t="s">
        <v>1131</v>
      </c>
      <c r="D21" s="200" t="s">
        <v>1132</v>
      </c>
      <c r="E21" s="201" t="s">
        <v>734</v>
      </c>
      <c r="F21" s="198" t="s">
        <v>1130</v>
      </c>
      <c r="G21" s="199" t="s">
        <v>1131</v>
      </c>
      <c r="H21" s="200" t="s">
        <v>1132</v>
      </c>
      <c r="I21" s="201" t="s">
        <v>734</v>
      </c>
      <c r="J21" s="198" t="s">
        <v>1130</v>
      </c>
      <c r="K21" s="199" t="s">
        <v>1131</v>
      </c>
      <c r="L21" s="200" t="s">
        <v>1132</v>
      </c>
      <c r="M21" s="149" t="s">
        <v>734</v>
      </c>
    </row>
    <row r="22" spans="1:13" ht="15.75" x14ac:dyDescent="0.25">
      <c r="A22" s="151" t="s">
        <v>275</v>
      </c>
      <c r="B22" s="152">
        <f>Datos!D134+Datos!D135</f>
        <v>50</v>
      </c>
      <c r="C22" s="153">
        <f>Datos!E134+Datos!E135</f>
        <v>16</v>
      </c>
      <c r="D22" s="154">
        <f>Datos!F134+Datos!F135</f>
        <v>40</v>
      </c>
      <c r="E22" s="155">
        <f t="shared" ref="E22:E29" si="4">SUM(B22:D22)</f>
        <v>106</v>
      </c>
      <c r="F22" s="152">
        <f>Datos!H134+Datos!H135</f>
        <v>107</v>
      </c>
      <c r="G22" s="153">
        <f>Datos!I134+Datos!I135</f>
        <v>34</v>
      </c>
      <c r="H22" s="154">
        <f>Datos!J134+Datos!J135</f>
        <v>79</v>
      </c>
      <c r="I22" s="155">
        <f t="shared" ref="I22:I29" si="5">SUM(F22:H22)</f>
        <v>220</v>
      </c>
      <c r="J22" s="152">
        <f t="shared" ref="J22:L28" si="6">B22+F22</f>
        <v>157</v>
      </c>
      <c r="K22" s="153">
        <f t="shared" si="6"/>
        <v>50</v>
      </c>
      <c r="L22" s="154">
        <f t="shared" si="6"/>
        <v>119</v>
      </c>
      <c r="M22" s="155">
        <f t="shared" ref="M22:M28" si="7">SUM(J22:L22)</f>
        <v>326</v>
      </c>
    </row>
    <row r="23" spans="1:13" ht="15.75" x14ac:dyDescent="0.25">
      <c r="A23" s="157" t="s">
        <v>1118</v>
      </c>
      <c r="B23" s="158">
        <f>Datos!D136</f>
        <v>1</v>
      </c>
      <c r="C23" s="159">
        <f>Datos!E136</f>
        <v>0</v>
      </c>
      <c r="D23" s="160">
        <f>Datos!F136</f>
        <v>0</v>
      </c>
      <c r="E23" s="161">
        <f t="shared" si="4"/>
        <v>1</v>
      </c>
      <c r="F23" s="158">
        <f>Datos!H136</f>
        <v>0</v>
      </c>
      <c r="G23" s="159">
        <f>Datos!I136</f>
        <v>0</v>
      </c>
      <c r="H23" s="160">
        <f>Datos!J136</f>
        <v>9</v>
      </c>
      <c r="I23" s="161">
        <f t="shared" si="5"/>
        <v>9</v>
      </c>
      <c r="J23" s="158">
        <f t="shared" si="6"/>
        <v>1</v>
      </c>
      <c r="K23" s="159">
        <f t="shared" si="6"/>
        <v>0</v>
      </c>
      <c r="L23" s="160">
        <f t="shared" si="6"/>
        <v>9</v>
      </c>
      <c r="M23" s="161">
        <f t="shared" si="7"/>
        <v>10</v>
      </c>
    </row>
    <row r="24" spans="1:13" ht="15.75" x14ac:dyDescent="0.25">
      <c r="A24" s="157" t="s">
        <v>278</v>
      </c>
      <c r="B24" s="158">
        <f>Datos!D137</f>
        <v>0</v>
      </c>
      <c r="C24" s="159">
        <f>Datos!E137</f>
        <v>0</v>
      </c>
      <c r="D24" s="160">
        <f>Datos!F137</f>
        <v>0</v>
      </c>
      <c r="E24" s="161">
        <f t="shared" si="4"/>
        <v>0</v>
      </c>
      <c r="F24" s="158">
        <f>Datos!H137</f>
        <v>0</v>
      </c>
      <c r="G24" s="159">
        <f>Datos!I137</f>
        <v>5</v>
      </c>
      <c r="H24" s="160">
        <f>Datos!J137</f>
        <v>5</v>
      </c>
      <c r="I24" s="161">
        <f t="shared" si="5"/>
        <v>10</v>
      </c>
      <c r="J24" s="158">
        <f t="shared" si="6"/>
        <v>0</v>
      </c>
      <c r="K24" s="159">
        <f t="shared" si="6"/>
        <v>5</v>
      </c>
      <c r="L24" s="160">
        <f t="shared" si="6"/>
        <v>5</v>
      </c>
      <c r="M24" s="161">
        <f t="shared" si="7"/>
        <v>10</v>
      </c>
    </row>
    <row r="25" spans="1:13" ht="15.75" x14ac:dyDescent="0.25">
      <c r="A25" s="157" t="s">
        <v>1134</v>
      </c>
      <c r="B25" s="158">
        <f>Datos!D138+Datos!D139</f>
        <v>0</v>
      </c>
      <c r="C25" s="159">
        <f>Datos!E138+Datos!E139</f>
        <v>0</v>
      </c>
      <c r="D25" s="160">
        <f>Datos!F138+Datos!F139</f>
        <v>0</v>
      </c>
      <c r="E25" s="161">
        <f t="shared" si="4"/>
        <v>0</v>
      </c>
      <c r="F25" s="158">
        <f>Datos!H138+Datos!H139</f>
        <v>0</v>
      </c>
      <c r="G25" s="159">
        <f>Datos!I138+Datos!I139</f>
        <v>0</v>
      </c>
      <c r="H25" s="160">
        <f>Datos!J138+Datos!J139</f>
        <v>0</v>
      </c>
      <c r="I25" s="161">
        <f t="shared" si="5"/>
        <v>0</v>
      </c>
      <c r="J25" s="158">
        <f t="shared" si="6"/>
        <v>0</v>
      </c>
      <c r="K25" s="159">
        <f t="shared" si="6"/>
        <v>0</v>
      </c>
      <c r="L25" s="160">
        <f t="shared" si="6"/>
        <v>0</v>
      </c>
      <c r="M25" s="161">
        <f t="shared" si="7"/>
        <v>0</v>
      </c>
    </row>
    <row r="26" spans="1:13" ht="15.75" x14ac:dyDescent="0.25">
      <c r="A26" s="157" t="s">
        <v>1135</v>
      </c>
      <c r="B26" s="158">
        <f>Datos!D140+Datos!D141</f>
        <v>0</v>
      </c>
      <c r="C26" s="159">
        <f>Datos!E140+Datos!E141</f>
        <v>0</v>
      </c>
      <c r="D26" s="160">
        <f>Datos!F140+Datos!F141</f>
        <v>0</v>
      </c>
      <c r="E26" s="161">
        <f t="shared" si="4"/>
        <v>0</v>
      </c>
      <c r="F26" s="158">
        <f>Datos!H140+Datos!H141</f>
        <v>0</v>
      </c>
      <c r="G26" s="159">
        <f>Datos!I140+Datos!I141</f>
        <v>0</v>
      </c>
      <c r="H26" s="160">
        <f>Datos!J140+Datos!J141</f>
        <v>0</v>
      </c>
      <c r="I26" s="161">
        <f t="shared" si="5"/>
        <v>0</v>
      </c>
      <c r="J26" s="158">
        <f t="shared" si="6"/>
        <v>0</v>
      </c>
      <c r="K26" s="159">
        <f t="shared" si="6"/>
        <v>0</v>
      </c>
      <c r="L26" s="160">
        <f t="shared" si="6"/>
        <v>0</v>
      </c>
      <c r="M26" s="161">
        <f t="shared" si="7"/>
        <v>0</v>
      </c>
    </row>
    <row r="27" spans="1:13" ht="15.75" x14ac:dyDescent="0.25">
      <c r="A27" s="157" t="s">
        <v>279</v>
      </c>
      <c r="B27" s="158">
        <f>+Datos!D142</f>
        <v>0</v>
      </c>
      <c r="C27" s="159">
        <f>+Datos!E142</f>
        <v>0</v>
      </c>
      <c r="D27" s="160">
        <f>+Datos!F142</f>
        <v>0</v>
      </c>
      <c r="E27" s="161">
        <f t="shared" si="4"/>
        <v>0</v>
      </c>
      <c r="F27" s="158">
        <f>+Datos!H142</f>
        <v>0</v>
      </c>
      <c r="G27" s="159">
        <f>+Datos!I142</f>
        <v>1</v>
      </c>
      <c r="H27" s="160">
        <f>+Datos!J142</f>
        <v>3</v>
      </c>
      <c r="I27" s="161">
        <f t="shared" si="5"/>
        <v>4</v>
      </c>
      <c r="J27" s="158">
        <f t="shared" si="6"/>
        <v>0</v>
      </c>
      <c r="K27" s="159">
        <f t="shared" si="6"/>
        <v>1</v>
      </c>
      <c r="L27" s="160">
        <f t="shared" si="6"/>
        <v>3</v>
      </c>
      <c r="M27" s="161">
        <f t="shared" si="7"/>
        <v>4</v>
      </c>
    </row>
    <row r="28" spans="1:13" ht="15.75" x14ac:dyDescent="0.25">
      <c r="A28" s="157" t="s">
        <v>1143</v>
      </c>
      <c r="B28" s="158">
        <f>SUM(Datos!D144:D147)</f>
        <v>0</v>
      </c>
      <c r="C28" s="159">
        <f>SUM(Datos!E144:E147)</f>
        <v>0</v>
      </c>
      <c r="D28" s="160">
        <f>SUM(Datos!F144:F147)</f>
        <v>0</v>
      </c>
      <c r="E28" s="161">
        <f t="shared" si="4"/>
        <v>0</v>
      </c>
      <c r="F28" s="158">
        <f>SUM(Datos!H144:H147)</f>
        <v>0</v>
      </c>
      <c r="G28" s="159">
        <f>SUM(Datos!I144:I147)</f>
        <v>0</v>
      </c>
      <c r="H28" s="160">
        <f>SUM(Datos!J144:J147)</f>
        <v>0</v>
      </c>
      <c r="I28" s="161">
        <f t="shared" si="5"/>
        <v>0</v>
      </c>
      <c r="J28" s="158">
        <f t="shared" si="6"/>
        <v>0</v>
      </c>
      <c r="K28" s="159">
        <f t="shared" si="6"/>
        <v>0</v>
      </c>
      <c r="L28" s="160">
        <f t="shared" si="6"/>
        <v>0</v>
      </c>
      <c r="M28" s="161">
        <f t="shared" si="7"/>
        <v>0</v>
      </c>
    </row>
    <row r="29" spans="1:13" ht="15.75" x14ac:dyDescent="0.25">
      <c r="A29" s="180" t="s">
        <v>1112</v>
      </c>
      <c r="B29" s="181">
        <f>SUM(B22:B28)</f>
        <v>51</v>
      </c>
      <c r="C29" s="182">
        <f>SUM(C22:C28)</f>
        <v>16</v>
      </c>
      <c r="D29" s="183">
        <f>SUM(D22:D28)</f>
        <v>40</v>
      </c>
      <c r="E29" s="184">
        <f t="shared" si="4"/>
        <v>107</v>
      </c>
      <c r="F29" s="181">
        <f>SUM(F22:F28)</f>
        <v>107</v>
      </c>
      <c r="G29" s="182">
        <f>SUM(G22:G28)</f>
        <v>40</v>
      </c>
      <c r="H29" s="183">
        <f>SUM(H22:H28)</f>
        <v>96</v>
      </c>
      <c r="I29" s="184">
        <f t="shared" si="5"/>
        <v>243</v>
      </c>
      <c r="J29" s="181">
        <f>SUM(J22:J28)</f>
        <v>158</v>
      </c>
      <c r="K29" s="182">
        <f>SUM(K22:K28)</f>
        <v>56</v>
      </c>
      <c r="L29" s="183">
        <f>SUM(L22:L28)</f>
        <v>136</v>
      </c>
      <c r="M29" s="184">
        <f>SUM(J29:L29)</f>
        <v>350</v>
      </c>
    </row>
    <row r="30" spans="1:13" ht="15.75" x14ac:dyDescent="0.25">
      <c r="A30" s="186" t="s">
        <v>1138</v>
      </c>
      <c r="B30" s="193"/>
      <c r="C30" s="194"/>
      <c r="D30" s="194"/>
      <c r="E30" s="187">
        <f>+Datos!$AB$2</f>
        <v>77</v>
      </c>
      <c r="F30" s="193"/>
      <c r="G30" s="194"/>
      <c r="H30" s="194"/>
      <c r="I30" s="187">
        <f>+Datos!$AB$1</f>
        <v>152</v>
      </c>
      <c r="J30" s="193"/>
      <c r="K30" s="194"/>
      <c r="L30" s="194"/>
      <c r="M30" s="187">
        <f>+I30+E30</f>
        <v>229</v>
      </c>
    </row>
    <row r="31" spans="1:13" x14ac:dyDescent="0.25">
      <c r="A31" s="147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8.75" x14ac:dyDescent="0.3">
      <c r="A32" s="216" t="str">
        <f>_xlfn.CONCAT("3.-Número de licencias médicas presentadas entre Enero y ",Datos!$D$197," de 2025 con reembolso, según género del funcionario afecto, tipo y rango de duración de la licencia médica")</f>
        <v>3.-Número de licencias médicas presentadas entre Enero y Marzo de 2025 con reembolso, según género del funcionario afecto, tipo y rango de duración de la licencia médica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</row>
    <row r="33" spans="1:14" x14ac:dyDescent="0.25">
      <c r="A33" s="147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1:14" x14ac:dyDescent="0.25">
      <c r="A34" s="230" t="s">
        <v>257</v>
      </c>
      <c r="B34" s="218" t="s">
        <v>1128</v>
      </c>
      <c r="C34" s="219"/>
      <c r="D34" s="219"/>
      <c r="E34" s="219"/>
      <c r="F34" s="219"/>
      <c r="G34" s="219"/>
      <c r="H34" s="219"/>
      <c r="I34" s="220"/>
      <c r="J34" s="221" t="s">
        <v>1112</v>
      </c>
      <c r="K34" s="222"/>
      <c r="L34" s="222"/>
      <c r="M34" s="223"/>
    </row>
    <row r="35" spans="1:14" x14ac:dyDescent="0.25">
      <c r="A35" s="230"/>
      <c r="B35" s="227" t="s">
        <v>1129</v>
      </c>
      <c r="C35" s="228"/>
      <c r="D35" s="228"/>
      <c r="E35" s="229"/>
      <c r="F35" s="227" t="s">
        <v>1114</v>
      </c>
      <c r="G35" s="228"/>
      <c r="H35" s="228"/>
      <c r="I35" s="229"/>
      <c r="J35" s="224"/>
      <c r="K35" s="225"/>
      <c r="L35" s="225"/>
      <c r="M35" s="226"/>
    </row>
    <row r="36" spans="1:14" ht="60" x14ac:dyDescent="0.25">
      <c r="A36" s="230"/>
      <c r="B36" s="198" t="s">
        <v>1130</v>
      </c>
      <c r="C36" s="199" t="s">
        <v>1131</v>
      </c>
      <c r="D36" s="200" t="s">
        <v>1132</v>
      </c>
      <c r="E36" s="201" t="s">
        <v>734</v>
      </c>
      <c r="F36" s="198" t="s">
        <v>1130</v>
      </c>
      <c r="G36" s="199" t="s">
        <v>1131</v>
      </c>
      <c r="H36" s="200" t="s">
        <v>1132</v>
      </c>
      <c r="I36" s="201" t="s">
        <v>734</v>
      </c>
      <c r="J36" s="198" t="s">
        <v>1130</v>
      </c>
      <c r="K36" s="199" t="s">
        <v>1131</v>
      </c>
      <c r="L36" s="200" t="s">
        <v>1132</v>
      </c>
      <c r="M36" s="149" t="s">
        <v>734</v>
      </c>
    </row>
    <row r="37" spans="1:14" ht="15.75" x14ac:dyDescent="0.25">
      <c r="A37" s="151" t="s">
        <v>275</v>
      </c>
      <c r="B37" s="152">
        <f>+Datos!D157+Datos!D158</f>
        <v>50</v>
      </c>
      <c r="C37" s="153">
        <f>+Datos!E157+Datos!E158</f>
        <v>16</v>
      </c>
      <c r="D37" s="154">
        <f>+Datos!F157+Datos!F158</f>
        <v>40</v>
      </c>
      <c r="E37" s="155">
        <f t="shared" ref="E37:E44" si="8">SUM(B37:D37)</f>
        <v>106</v>
      </c>
      <c r="F37" s="152">
        <f>+Datos!H157+Datos!H158</f>
        <v>105</v>
      </c>
      <c r="G37" s="153">
        <f>+Datos!I157+Datos!I158</f>
        <v>34</v>
      </c>
      <c r="H37" s="154">
        <f>+Datos!J157+Datos!J158</f>
        <v>78</v>
      </c>
      <c r="I37" s="155">
        <f t="shared" ref="I37:I44" si="9">SUM(F37:H37)</f>
        <v>217</v>
      </c>
      <c r="J37" s="152">
        <f t="shared" ref="J37:L43" si="10">B37+F37</f>
        <v>155</v>
      </c>
      <c r="K37" s="153">
        <f t="shared" si="10"/>
        <v>50</v>
      </c>
      <c r="L37" s="154">
        <f t="shared" si="10"/>
        <v>118</v>
      </c>
      <c r="M37" s="155">
        <f t="shared" ref="M37:M43" si="11">SUM(J37:L37)</f>
        <v>323</v>
      </c>
    </row>
    <row r="38" spans="1:14" ht="15.75" x14ac:dyDescent="0.25">
      <c r="A38" s="157" t="s">
        <v>1118</v>
      </c>
      <c r="B38" s="158">
        <f>+Datos!D159</f>
        <v>1</v>
      </c>
      <c r="C38" s="159">
        <f>+Datos!E159</f>
        <v>0</v>
      </c>
      <c r="D38" s="160">
        <f>+Datos!F159</f>
        <v>0</v>
      </c>
      <c r="E38" s="161">
        <f t="shared" si="8"/>
        <v>1</v>
      </c>
      <c r="F38" s="158">
        <f>+Datos!H159</f>
        <v>0</v>
      </c>
      <c r="G38" s="159">
        <f>+Datos!I159</f>
        <v>0</v>
      </c>
      <c r="H38" s="160">
        <f>+Datos!J159</f>
        <v>9</v>
      </c>
      <c r="I38" s="161">
        <f t="shared" si="9"/>
        <v>9</v>
      </c>
      <c r="J38" s="158">
        <f t="shared" si="10"/>
        <v>1</v>
      </c>
      <c r="K38" s="159">
        <f t="shared" si="10"/>
        <v>0</v>
      </c>
      <c r="L38" s="160">
        <f t="shared" si="10"/>
        <v>9</v>
      </c>
      <c r="M38" s="161">
        <f t="shared" si="11"/>
        <v>10</v>
      </c>
    </row>
    <row r="39" spans="1:14" ht="15.75" x14ac:dyDescent="0.25">
      <c r="A39" s="157" t="s">
        <v>278</v>
      </c>
      <c r="B39" s="158">
        <f>+Datos!D160</f>
        <v>0</v>
      </c>
      <c r="C39" s="159">
        <f>+Datos!E160</f>
        <v>0</v>
      </c>
      <c r="D39" s="160">
        <f>+Datos!F160</f>
        <v>0</v>
      </c>
      <c r="E39" s="161">
        <f t="shared" si="8"/>
        <v>0</v>
      </c>
      <c r="F39" s="158">
        <f>+Datos!H160</f>
        <v>0</v>
      </c>
      <c r="G39" s="159">
        <f>+Datos!I160</f>
        <v>5</v>
      </c>
      <c r="H39" s="160">
        <f>+Datos!J160</f>
        <v>5</v>
      </c>
      <c r="I39" s="161">
        <f t="shared" si="9"/>
        <v>10</v>
      </c>
      <c r="J39" s="158">
        <f t="shared" si="10"/>
        <v>0</v>
      </c>
      <c r="K39" s="159">
        <f t="shared" si="10"/>
        <v>5</v>
      </c>
      <c r="L39" s="160">
        <f t="shared" si="10"/>
        <v>5</v>
      </c>
      <c r="M39" s="161">
        <f t="shared" si="11"/>
        <v>10</v>
      </c>
    </row>
    <row r="40" spans="1:14" ht="15.75" x14ac:dyDescent="0.25">
      <c r="A40" s="157" t="s">
        <v>1134</v>
      </c>
      <c r="B40" s="158">
        <f>+Datos!D161+Datos!D162</f>
        <v>0</v>
      </c>
      <c r="C40" s="159">
        <f>+Datos!E161+Datos!E162</f>
        <v>0</v>
      </c>
      <c r="D40" s="160">
        <f>+Datos!F161+Datos!F162</f>
        <v>0</v>
      </c>
      <c r="E40" s="161">
        <f t="shared" si="8"/>
        <v>0</v>
      </c>
      <c r="F40" s="158">
        <f>+Datos!H161+Datos!H162</f>
        <v>0</v>
      </c>
      <c r="G40" s="159">
        <f>+Datos!I161+Datos!I162</f>
        <v>0</v>
      </c>
      <c r="H40" s="160">
        <f>+Datos!J161+Datos!J162</f>
        <v>0</v>
      </c>
      <c r="I40" s="161">
        <f t="shared" si="9"/>
        <v>0</v>
      </c>
      <c r="J40" s="158">
        <f t="shared" si="10"/>
        <v>0</v>
      </c>
      <c r="K40" s="159">
        <f t="shared" si="10"/>
        <v>0</v>
      </c>
      <c r="L40" s="160">
        <f t="shared" si="10"/>
        <v>0</v>
      </c>
      <c r="M40" s="161">
        <f t="shared" si="11"/>
        <v>0</v>
      </c>
    </row>
    <row r="41" spans="1:14" ht="15.75" x14ac:dyDescent="0.25">
      <c r="A41" s="157" t="s">
        <v>1135</v>
      </c>
      <c r="B41" s="158">
        <f>+Datos!D163+Datos!D164</f>
        <v>0</v>
      </c>
      <c r="C41" s="159">
        <f>+Datos!E163+Datos!E164</f>
        <v>0</v>
      </c>
      <c r="D41" s="160">
        <f>+Datos!F163+Datos!F164</f>
        <v>0</v>
      </c>
      <c r="E41" s="161">
        <f t="shared" si="8"/>
        <v>0</v>
      </c>
      <c r="F41" s="158">
        <f>+Datos!H163+Datos!H164</f>
        <v>0</v>
      </c>
      <c r="G41" s="159">
        <f>+Datos!I163+Datos!I164</f>
        <v>0</v>
      </c>
      <c r="H41" s="160">
        <f>+Datos!J163+Datos!J164</f>
        <v>0</v>
      </c>
      <c r="I41" s="161">
        <f t="shared" si="9"/>
        <v>0</v>
      </c>
      <c r="J41" s="158">
        <f t="shared" si="10"/>
        <v>0</v>
      </c>
      <c r="K41" s="159">
        <f t="shared" si="10"/>
        <v>0</v>
      </c>
      <c r="L41" s="160">
        <f t="shared" si="10"/>
        <v>0</v>
      </c>
      <c r="M41" s="161">
        <f t="shared" si="11"/>
        <v>0</v>
      </c>
    </row>
    <row r="42" spans="1:14" ht="15.75" x14ac:dyDescent="0.25">
      <c r="A42" s="157" t="s">
        <v>279</v>
      </c>
      <c r="B42" s="158">
        <f>+Datos!D165</f>
        <v>0</v>
      </c>
      <c r="C42" s="159">
        <f>+Datos!E165</f>
        <v>0</v>
      </c>
      <c r="D42" s="160">
        <f>+Datos!F165</f>
        <v>0</v>
      </c>
      <c r="E42" s="161">
        <f t="shared" si="8"/>
        <v>0</v>
      </c>
      <c r="F42" s="158">
        <f>+Datos!H165</f>
        <v>0</v>
      </c>
      <c r="G42" s="159">
        <f>+Datos!I165</f>
        <v>1</v>
      </c>
      <c r="H42" s="160">
        <f>+Datos!J165</f>
        <v>3</v>
      </c>
      <c r="I42" s="161">
        <f t="shared" si="9"/>
        <v>4</v>
      </c>
      <c r="J42" s="158">
        <f t="shared" si="10"/>
        <v>0</v>
      </c>
      <c r="K42" s="159">
        <f t="shared" si="10"/>
        <v>1</v>
      </c>
      <c r="L42" s="160">
        <f t="shared" si="10"/>
        <v>3</v>
      </c>
      <c r="M42" s="161">
        <f t="shared" si="11"/>
        <v>4</v>
      </c>
    </row>
    <row r="43" spans="1:14" ht="15.75" x14ac:dyDescent="0.25">
      <c r="A43" s="157" t="s">
        <v>1143</v>
      </c>
      <c r="B43" s="158">
        <f>+Datos!D189+Datos!D190+Datos!D191+Datos!D192</f>
        <v>0</v>
      </c>
      <c r="C43" s="159">
        <f>+Datos!E189+Datos!E190+Datos!E191+Datos!E192</f>
        <v>0</v>
      </c>
      <c r="D43" s="160">
        <f>+Datos!F189+Datos!F190+Datos!F191+Datos!F192</f>
        <v>0</v>
      </c>
      <c r="E43" s="161">
        <f t="shared" si="8"/>
        <v>0</v>
      </c>
      <c r="F43" s="158">
        <f>+Datos!H189+Datos!H190+Datos!H191+Datos!H192</f>
        <v>0</v>
      </c>
      <c r="G43" s="159">
        <f>+Datos!I189+Datos!I190+Datos!I191+Datos!I192</f>
        <v>0</v>
      </c>
      <c r="H43" s="160">
        <f>+Datos!J189+Datos!J190+Datos!J191+Datos!J192</f>
        <v>0</v>
      </c>
      <c r="I43" s="161">
        <f t="shared" si="9"/>
        <v>0</v>
      </c>
      <c r="J43" s="158">
        <f t="shared" si="10"/>
        <v>0</v>
      </c>
      <c r="K43" s="159">
        <f t="shared" si="10"/>
        <v>0</v>
      </c>
      <c r="L43" s="160">
        <f t="shared" si="10"/>
        <v>0</v>
      </c>
      <c r="M43" s="161">
        <f t="shared" si="11"/>
        <v>0</v>
      </c>
    </row>
    <row r="44" spans="1:14" ht="15.75" x14ac:dyDescent="0.25">
      <c r="A44" s="180" t="s">
        <v>1112</v>
      </c>
      <c r="B44" s="181">
        <f>SUM(B37:B43)</f>
        <v>51</v>
      </c>
      <c r="C44" s="182">
        <f>SUM(C37:C43)</f>
        <v>16</v>
      </c>
      <c r="D44" s="183">
        <f>SUM(D37:D43)</f>
        <v>40</v>
      </c>
      <c r="E44" s="184">
        <f t="shared" si="8"/>
        <v>107</v>
      </c>
      <c r="F44" s="181">
        <f>SUM(F37:F43)</f>
        <v>105</v>
      </c>
      <c r="G44" s="182">
        <f>SUM(G37:G43)</f>
        <v>40</v>
      </c>
      <c r="H44" s="183">
        <f>SUM(H37:H43)</f>
        <v>95</v>
      </c>
      <c r="I44" s="184">
        <f t="shared" si="9"/>
        <v>240</v>
      </c>
      <c r="J44" s="181">
        <f>SUM(J37:J43)</f>
        <v>156</v>
      </c>
      <c r="K44" s="182">
        <f>SUM(K37:K43)</f>
        <v>56</v>
      </c>
      <c r="L44" s="183">
        <f>SUM(L37:L43)</f>
        <v>135</v>
      </c>
      <c r="M44" s="184">
        <f>SUM(J44:L44)</f>
        <v>347</v>
      </c>
      <c r="N44" s="179"/>
    </row>
    <row r="45" spans="1:14" ht="15.75" x14ac:dyDescent="0.25">
      <c r="A45" s="188" t="s">
        <v>1139</v>
      </c>
      <c r="B45" s="196"/>
      <c r="C45" s="197"/>
      <c r="D45" s="197"/>
      <c r="E45" s="185">
        <f>+E44/E29</f>
        <v>1</v>
      </c>
      <c r="F45" s="196"/>
      <c r="G45" s="197"/>
      <c r="H45" s="197"/>
      <c r="I45" s="185">
        <f>+I44/I29</f>
        <v>0.98765432098765427</v>
      </c>
      <c r="J45" s="196"/>
      <c r="K45" s="197"/>
      <c r="L45" s="197"/>
      <c r="M45" s="185">
        <f>+M44/M29</f>
        <v>0.99142857142857144</v>
      </c>
    </row>
    <row r="46" spans="1:14" ht="15.75" x14ac:dyDescent="0.25">
      <c r="A46" s="168"/>
      <c r="B46" s="168"/>
      <c r="C46" s="168"/>
      <c r="D46" s="168"/>
      <c r="E46" s="169"/>
      <c r="F46" s="168"/>
      <c r="G46" s="168"/>
      <c r="H46" s="168"/>
      <c r="I46" s="169"/>
      <c r="J46" s="168"/>
      <c r="K46" s="168"/>
      <c r="L46" s="168"/>
      <c r="M46" s="169"/>
    </row>
    <row r="47" spans="1:14" ht="18.75" x14ac:dyDescent="0.25">
      <c r="A47" s="231" t="str">
        <f>_xlfn.CONCAT("4.-Monto ($) recuperado total de las licencias médicas presentadas entre Enero y ",Datos!$D$197," de 2025, según género del funcionario afecto, tipo y rango de duración de la licencia médica")</f>
        <v>4.-Monto ($) recuperado total de las licencias médicas presentadas entre Enero y Marzo de 2025, según género del funcionario afecto, tipo y rango de duración de la licencia médica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</row>
    <row r="48" spans="1:14" x14ac:dyDescent="0.25">
      <c r="A48" s="147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</row>
    <row r="49" spans="1:13" x14ac:dyDescent="0.25">
      <c r="A49" s="230" t="s">
        <v>257</v>
      </c>
      <c r="B49" s="218" t="s">
        <v>1128</v>
      </c>
      <c r="C49" s="219"/>
      <c r="D49" s="219"/>
      <c r="E49" s="219"/>
      <c r="F49" s="219"/>
      <c r="G49" s="219"/>
      <c r="H49" s="219"/>
      <c r="I49" s="220"/>
      <c r="J49" s="221" t="s">
        <v>1112</v>
      </c>
      <c r="K49" s="222"/>
      <c r="L49" s="222"/>
      <c r="M49" s="223"/>
    </row>
    <row r="50" spans="1:13" x14ac:dyDescent="0.25">
      <c r="A50" s="230"/>
      <c r="B50" s="227" t="s">
        <v>1129</v>
      </c>
      <c r="C50" s="228"/>
      <c r="D50" s="228"/>
      <c r="E50" s="229"/>
      <c r="F50" s="227" t="s">
        <v>1114</v>
      </c>
      <c r="G50" s="228"/>
      <c r="H50" s="228"/>
      <c r="I50" s="229"/>
      <c r="J50" s="224"/>
      <c r="K50" s="225"/>
      <c r="L50" s="225"/>
      <c r="M50" s="226"/>
    </row>
    <row r="51" spans="1:13" ht="60" x14ac:dyDescent="0.25">
      <c r="A51" s="230"/>
      <c r="B51" s="198" t="s">
        <v>1130</v>
      </c>
      <c r="C51" s="199" t="s">
        <v>1131</v>
      </c>
      <c r="D51" s="200" t="s">
        <v>1132</v>
      </c>
      <c r="E51" s="201" t="s">
        <v>734</v>
      </c>
      <c r="F51" s="198" t="s">
        <v>1130</v>
      </c>
      <c r="G51" s="199" t="s">
        <v>1131</v>
      </c>
      <c r="H51" s="200" t="s">
        <v>1132</v>
      </c>
      <c r="I51" s="201" t="s">
        <v>734</v>
      </c>
      <c r="J51" s="198" t="s">
        <v>1130</v>
      </c>
      <c r="K51" s="199" t="s">
        <v>1131</v>
      </c>
      <c r="L51" s="200" t="s">
        <v>1132</v>
      </c>
      <c r="M51" s="149" t="s">
        <v>734</v>
      </c>
    </row>
    <row r="52" spans="1:13" ht="15.75" x14ac:dyDescent="0.25">
      <c r="A52" s="151" t="s">
        <v>275</v>
      </c>
      <c r="B52" s="170">
        <f>Datos!D179+Datos!D180</f>
        <v>3664332</v>
      </c>
      <c r="C52" s="171">
        <f>Datos!E179+Datos!E180</f>
        <v>8827392</v>
      </c>
      <c r="D52" s="172">
        <f>Datos!F179+Datos!F180</f>
        <v>102564404</v>
      </c>
      <c r="E52" s="173">
        <f t="shared" ref="E52:E59" si="12">SUM(B52:D52)</f>
        <v>115056128</v>
      </c>
      <c r="F52" s="170">
        <f>Datos!H179+Datos!H180</f>
        <v>7883208</v>
      </c>
      <c r="G52" s="171">
        <f>Datos!I179+Datos!I180</f>
        <v>17859576</v>
      </c>
      <c r="H52" s="172">
        <f>Datos!J179+Datos!J180</f>
        <v>205013134</v>
      </c>
      <c r="I52" s="173">
        <f t="shared" ref="I52:I59" si="13">SUM(F52:H52)</f>
        <v>230755918</v>
      </c>
      <c r="J52" s="170">
        <f t="shared" ref="J52:L58" si="14">B52+F52</f>
        <v>11547540</v>
      </c>
      <c r="K52" s="171">
        <f t="shared" si="14"/>
        <v>26686968</v>
      </c>
      <c r="L52" s="172">
        <f t="shared" si="14"/>
        <v>307577538</v>
      </c>
      <c r="M52" s="173">
        <f t="shared" ref="M52:M58" si="15">SUM(J52:L52)</f>
        <v>345812046</v>
      </c>
    </row>
    <row r="53" spans="1:13" ht="15.75" x14ac:dyDescent="0.25">
      <c r="A53" s="157" t="s">
        <v>1118</v>
      </c>
      <c r="B53" s="174">
        <f>Datos!D181</f>
        <v>63896</v>
      </c>
      <c r="C53" s="175">
        <f>Datos!E181</f>
        <v>0</v>
      </c>
      <c r="D53" s="176">
        <f>Datos!F181</f>
        <v>0</v>
      </c>
      <c r="E53" s="177">
        <f t="shared" si="12"/>
        <v>63896</v>
      </c>
      <c r="F53" s="174">
        <f>Datos!H181</f>
        <v>0</v>
      </c>
      <c r="G53" s="175">
        <f>Datos!I181</f>
        <v>0</v>
      </c>
      <c r="H53" s="176">
        <f>Datos!J181</f>
        <v>62827600</v>
      </c>
      <c r="I53" s="177">
        <f t="shared" si="13"/>
        <v>62827600</v>
      </c>
      <c r="J53" s="174">
        <f t="shared" si="14"/>
        <v>63896</v>
      </c>
      <c r="K53" s="175">
        <f t="shared" si="14"/>
        <v>0</v>
      </c>
      <c r="L53" s="176">
        <f t="shared" si="14"/>
        <v>62827600</v>
      </c>
      <c r="M53" s="177">
        <f t="shared" si="15"/>
        <v>62891496</v>
      </c>
    </row>
    <row r="54" spans="1:13" ht="15.75" x14ac:dyDescent="0.25">
      <c r="A54" s="157" t="s">
        <v>278</v>
      </c>
      <c r="B54" s="174">
        <f>Datos!D182</f>
        <v>0</v>
      </c>
      <c r="C54" s="175">
        <f>Datos!E182</f>
        <v>0</v>
      </c>
      <c r="D54" s="176">
        <f>Datos!F182</f>
        <v>0</v>
      </c>
      <c r="E54" s="177">
        <f t="shared" si="12"/>
        <v>0</v>
      </c>
      <c r="F54" s="174">
        <f>Datos!H182</f>
        <v>0</v>
      </c>
      <c r="G54" s="175">
        <f>Datos!I182</f>
        <v>15160</v>
      </c>
      <c r="H54" s="176">
        <f>Datos!J182</f>
        <v>10489760</v>
      </c>
      <c r="I54" s="177">
        <f t="shared" si="13"/>
        <v>10504920</v>
      </c>
      <c r="J54" s="174">
        <f t="shared" si="14"/>
        <v>0</v>
      </c>
      <c r="K54" s="175">
        <f t="shared" si="14"/>
        <v>15160</v>
      </c>
      <c r="L54" s="176">
        <f t="shared" si="14"/>
        <v>10489760</v>
      </c>
      <c r="M54" s="177">
        <f t="shared" si="15"/>
        <v>10504920</v>
      </c>
    </row>
    <row r="55" spans="1:13" ht="15.75" x14ac:dyDescent="0.25">
      <c r="A55" s="157" t="s">
        <v>1134</v>
      </c>
      <c r="B55" s="174">
        <f>Datos!D183+Datos!D184</f>
        <v>0</v>
      </c>
      <c r="C55" s="175">
        <f>Datos!E183+Datos!E184</f>
        <v>0</v>
      </c>
      <c r="D55" s="176">
        <f>Datos!F183+Datos!F184</f>
        <v>0</v>
      </c>
      <c r="E55" s="177">
        <f t="shared" si="12"/>
        <v>0</v>
      </c>
      <c r="F55" s="174">
        <f>Datos!H183+Datos!H184</f>
        <v>0</v>
      </c>
      <c r="G55" s="175">
        <f>Datos!I183+Datos!I184</f>
        <v>0</v>
      </c>
      <c r="H55" s="176">
        <f>Datos!J183+Datos!J184</f>
        <v>0</v>
      </c>
      <c r="I55" s="177">
        <f t="shared" si="13"/>
        <v>0</v>
      </c>
      <c r="J55" s="174">
        <f t="shared" si="14"/>
        <v>0</v>
      </c>
      <c r="K55" s="175">
        <f t="shared" si="14"/>
        <v>0</v>
      </c>
      <c r="L55" s="176">
        <f t="shared" si="14"/>
        <v>0</v>
      </c>
      <c r="M55" s="177">
        <f t="shared" si="15"/>
        <v>0</v>
      </c>
    </row>
    <row r="56" spans="1:13" ht="15.75" x14ac:dyDescent="0.25">
      <c r="A56" s="157" t="s">
        <v>1135</v>
      </c>
      <c r="B56" s="174">
        <f>Datos!D185+Datos!D186</f>
        <v>0</v>
      </c>
      <c r="C56" s="175">
        <f>Datos!E185+Datos!E186</f>
        <v>0</v>
      </c>
      <c r="D56" s="176">
        <f>Datos!F185+Datos!F186</f>
        <v>0</v>
      </c>
      <c r="E56" s="177">
        <f t="shared" si="12"/>
        <v>0</v>
      </c>
      <c r="F56" s="174">
        <f>Datos!H185+Datos!H186</f>
        <v>0</v>
      </c>
      <c r="G56" s="175">
        <f>Datos!I185+Datos!I186</f>
        <v>0</v>
      </c>
      <c r="H56" s="176">
        <f>Datos!J185+Datos!J186</f>
        <v>0</v>
      </c>
      <c r="I56" s="177">
        <f t="shared" si="13"/>
        <v>0</v>
      </c>
      <c r="J56" s="174">
        <f t="shared" si="14"/>
        <v>0</v>
      </c>
      <c r="K56" s="175">
        <f t="shared" si="14"/>
        <v>0</v>
      </c>
      <c r="L56" s="176">
        <f t="shared" si="14"/>
        <v>0</v>
      </c>
      <c r="M56" s="177">
        <f t="shared" si="15"/>
        <v>0</v>
      </c>
    </row>
    <row r="57" spans="1:13" ht="15.75" x14ac:dyDescent="0.25">
      <c r="A57" s="157" t="s">
        <v>279</v>
      </c>
      <c r="B57" s="174">
        <f>Datos!D187</f>
        <v>0</v>
      </c>
      <c r="C57" s="175">
        <f>Datos!E187</f>
        <v>0</v>
      </c>
      <c r="D57" s="176">
        <f>Datos!F187</f>
        <v>0</v>
      </c>
      <c r="E57" s="177">
        <f t="shared" si="12"/>
        <v>0</v>
      </c>
      <c r="F57" s="174">
        <f>Datos!H187</f>
        <v>0</v>
      </c>
      <c r="G57" s="175">
        <f>Datos!I187</f>
        <v>641328</v>
      </c>
      <c r="H57" s="176">
        <f>Datos!J187</f>
        <v>4706458</v>
      </c>
      <c r="I57" s="177">
        <f t="shared" si="13"/>
        <v>5347786</v>
      </c>
      <c r="J57" s="174">
        <f t="shared" si="14"/>
        <v>0</v>
      </c>
      <c r="K57" s="175">
        <f t="shared" si="14"/>
        <v>641328</v>
      </c>
      <c r="L57" s="176">
        <f t="shared" si="14"/>
        <v>4706458</v>
      </c>
      <c r="M57" s="177">
        <f t="shared" si="15"/>
        <v>5347786</v>
      </c>
    </row>
    <row r="58" spans="1:13" ht="15.75" x14ac:dyDescent="0.25">
      <c r="A58" s="157" t="s">
        <v>1143</v>
      </c>
      <c r="B58" s="174">
        <f>SUM(Datos!D189:D192)</f>
        <v>0</v>
      </c>
      <c r="C58" s="175">
        <f>SUM(Datos!E189:E192)</f>
        <v>0</v>
      </c>
      <c r="D58" s="176">
        <f>SUM(Datos!F189:F192)</f>
        <v>0</v>
      </c>
      <c r="E58" s="177">
        <f t="shared" si="12"/>
        <v>0</v>
      </c>
      <c r="F58" s="174">
        <f>SUM(Datos!H189:H192)</f>
        <v>0</v>
      </c>
      <c r="G58" s="175">
        <f>SUM(Datos!I189:I192)</f>
        <v>0</v>
      </c>
      <c r="H58" s="176">
        <f>SUM(Datos!J189:J192)</f>
        <v>0</v>
      </c>
      <c r="I58" s="177">
        <f t="shared" si="13"/>
        <v>0</v>
      </c>
      <c r="J58" s="174">
        <f t="shared" si="14"/>
        <v>0</v>
      </c>
      <c r="K58" s="175">
        <f t="shared" si="14"/>
        <v>0</v>
      </c>
      <c r="L58" s="176">
        <f t="shared" si="14"/>
        <v>0</v>
      </c>
      <c r="M58" s="177">
        <f t="shared" si="15"/>
        <v>0</v>
      </c>
    </row>
    <row r="59" spans="1:13" ht="15.75" x14ac:dyDescent="0.25">
      <c r="A59" s="180" t="s">
        <v>1112</v>
      </c>
      <c r="B59" s="189">
        <f>SUM(B52:B58)</f>
        <v>3728228</v>
      </c>
      <c r="C59" s="190">
        <f>SUM(C52:C58)</f>
        <v>8827392</v>
      </c>
      <c r="D59" s="191">
        <f>SUM(D52:D58)</f>
        <v>102564404</v>
      </c>
      <c r="E59" s="192">
        <f t="shared" si="12"/>
        <v>115120024</v>
      </c>
      <c r="F59" s="189">
        <f>SUM(F52:F58)</f>
        <v>7883208</v>
      </c>
      <c r="G59" s="190">
        <f>SUM(G52:G58)</f>
        <v>18516064</v>
      </c>
      <c r="H59" s="191">
        <f>SUM(H52:H58)</f>
        <v>283036952</v>
      </c>
      <c r="I59" s="192">
        <f t="shared" si="13"/>
        <v>309436224</v>
      </c>
      <c r="J59" s="189">
        <f>SUM(J52:J58)</f>
        <v>11611436</v>
      </c>
      <c r="K59" s="190">
        <f>SUM(K52:K58)</f>
        <v>27343456</v>
      </c>
      <c r="L59" s="191">
        <f>SUM(L52:L58)</f>
        <v>385601356</v>
      </c>
      <c r="M59" s="192">
        <f>SUM(J59:L59)</f>
        <v>424556248</v>
      </c>
    </row>
    <row r="60" spans="1:13" x14ac:dyDescent="0.25">
      <c r="A60" s="147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</row>
  </sheetData>
  <mergeCells count="24">
    <mergeCell ref="A47:M47"/>
    <mergeCell ref="A49:A51"/>
    <mergeCell ref="B49:I49"/>
    <mergeCell ref="J49:M50"/>
    <mergeCell ref="B50:E50"/>
    <mergeCell ref="F50:I50"/>
    <mergeCell ref="A32:M32"/>
    <mergeCell ref="A34:A36"/>
    <mergeCell ref="B34:I34"/>
    <mergeCell ref="J34:M35"/>
    <mergeCell ref="B35:E35"/>
    <mergeCell ref="F35:I35"/>
    <mergeCell ref="A17:M17"/>
    <mergeCell ref="A19:A21"/>
    <mergeCell ref="B19:I19"/>
    <mergeCell ref="J19:M20"/>
    <mergeCell ref="B20:E20"/>
    <mergeCell ref="F20:I20"/>
    <mergeCell ref="A2:M2"/>
    <mergeCell ref="A4:A6"/>
    <mergeCell ref="B4:I4"/>
    <mergeCell ref="J4:M5"/>
    <mergeCell ref="B5:E5"/>
    <mergeCell ref="F5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70" orientation="landscape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68"/>
  <sheetViews>
    <sheetView showGridLines="0" zoomScale="90" zoomScaleNormal="90" zoomScaleSheetLayoutView="90" workbookViewId="0">
      <selection activeCell="K18" sqref="K18"/>
    </sheetView>
  </sheetViews>
  <sheetFormatPr baseColWidth="10" defaultRowHeight="15" x14ac:dyDescent="0.25"/>
  <cols>
    <col min="1" max="1" width="2" customWidth="1"/>
    <col min="2" max="2" width="9.28515625" style="1" hidden="1" customWidth="1"/>
    <col min="3" max="3" width="40.42578125" style="1" customWidth="1"/>
    <col min="4" max="5" width="13.42578125" customWidth="1"/>
    <col min="6" max="6" width="18.42578125" bestFit="1" customWidth="1"/>
    <col min="7" max="7" width="15.28515625" bestFit="1" customWidth="1"/>
    <col min="8" max="9" width="13.42578125" customWidth="1"/>
    <col min="10" max="10" width="18.42578125" bestFit="1" customWidth="1"/>
    <col min="11" max="11" width="14.140625" customWidth="1"/>
    <col min="12" max="13" width="13.42578125" customWidth="1"/>
    <col min="14" max="14" width="18.42578125" bestFit="1" customWidth="1"/>
    <col min="15" max="15" width="15.28515625" bestFit="1" customWidth="1"/>
    <col min="16" max="16" width="1.85546875" customWidth="1"/>
    <col min="17" max="17" width="19" customWidth="1"/>
    <col min="18" max="18" width="23.5703125" customWidth="1"/>
    <col min="19" max="19" width="13.5703125" customWidth="1"/>
    <col min="20" max="32" width="9.7109375" customWidth="1"/>
  </cols>
  <sheetData>
    <row r="1" spans="2:28" ht="45" x14ac:dyDescent="0.25">
      <c r="T1" s="107" t="s">
        <v>1032</v>
      </c>
      <c r="U1" cm="1">
        <f t="array" ref="U1:U234">IF(_xlfn._TRO_TRAILING($T:$T)=0,"n",_xlfn.XLOOKUP(_xlfn._TRO_TRAILING(S:S),L!C:C,L!H:H))</f>
        <v>0</v>
      </c>
      <c r="X1" s="108" t="s">
        <v>1033</v>
      </c>
      <c r="Y1" s="108">
        <f>+COUNTIF($U:$U,X1)</f>
        <v>152</v>
      </c>
      <c r="AA1" s="108" t="s">
        <v>1034</v>
      </c>
      <c r="AB1" s="108">
        <f>+Y1</f>
        <v>152</v>
      </c>
    </row>
    <row r="2" spans="2:28" ht="46.5" customHeight="1" x14ac:dyDescent="0.25">
      <c r="B2" s="109" t="s">
        <v>1035</v>
      </c>
      <c r="C2" s="109" t="s">
        <v>1036</v>
      </c>
      <c r="E2" s="109" t="s">
        <v>1037</v>
      </c>
      <c r="F2" s="110" t="s">
        <v>1038</v>
      </c>
      <c r="G2" s="110"/>
      <c r="H2" s="111" t="s">
        <v>1039</v>
      </c>
      <c r="I2" s="111" t="s">
        <v>1040</v>
      </c>
      <c r="J2" s="111" t="s">
        <v>1041</v>
      </c>
      <c r="K2" s="112" t="s">
        <v>1042</v>
      </c>
      <c r="L2" s="107"/>
      <c r="S2" cm="1">
        <f t="array" ref="S2:T234">_xlfn.GROUPBY(_xlfn._TRO_TRAILING(L!C:C),IF(_xlfn._TRO_TRAILING(L!AC:AC)="",0,1),_xleta.SUM,1)</f>
        <v>6156471</v>
      </c>
      <c r="T2">
        <v>2</v>
      </c>
      <c r="U2" t="str">
        <v>H</v>
      </c>
      <c r="X2" s="108" t="s">
        <v>663</v>
      </c>
      <c r="Y2" s="108">
        <f>+COUNTIF($U:$U,X2)</f>
        <v>77</v>
      </c>
      <c r="AA2" s="108" t="s">
        <v>1043</v>
      </c>
      <c r="AB2" s="108">
        <f>+Y2+Y3</f>
        <v>77</v>
      </c>
    </row>
    <row r="3" spans="2:28" ht="18" customHeight="1" x14ac:dyDescent="0.25">
      <c r="B3" s="109">
        <v>0</v>
      </c>
      <c r="C3" s="109" t="s">
        <v>1044</v>
      </c>
      <c r="E3" s="113" t="s">
        <v>1045</v>
      </c>
      <c r="F3" s="1" t="str">
        <f>CONCATENATE(E3,"_",$C$3)</f>
        <v>H_1_[hasta 3]</v>
      </c>
      <c r="G3" s="1"/>
      <c r="H3" s="1">
        <f>SUMIF(L!AC:AC,Datos!F3,L!T:T)</f>
        <v>96</v>
      </c>
      <c r="I3" s="1">
        <f>COUNTIF(L!AC:AC,Datos!F3)</f>
        <v>49</v>
      </c>
      <c r="J3" s="1">
        <f>SUMIF(L!AC:AC,Datos!F3,L!AD:AD)</f>
        <v>3650612</v>
      </c>
      <c r="K3" s="1">
        <f>COUNTIFS(L!AC:AC,F3,L!AD:AD,"&gt;0")</f>
        <v>49</v>
      </c>
      <c r="S3">
        <v>6903434</v>
      </c>
      <c r="T3">
        <v>1</v>
      </c>
      <c r="U3" t="str">
        <v>M</v>
      </c>
      <c r="X3" s="108" t="s">
        <v>1046</v>
      </c>
      <c r="Y3" s="108">
        <f>+COUNTIF($U:$U,X3)</f>
        <v>0</v>
      </c>
      <c r="AA3" s="108" t="s">
        <v>1142</v>
      </c>
      <c r="AB3" s="108">
        <f>SUM(AB1:AB2)</f>
        <v>229</v>
      </c>
    </row>
    <row r="4" spans="2:28" x14ac:dyDescent="0.25">
      <c r="B4" s="109">
        <v>4</v>
      </c>
      <c r="C4" s="109" t="s">
        <v>1047</v>
      </c>
      <c r="E4" s="113" t="s">
        <v>1048</v>
      </c>
      <c r="F4" s="1" t="str">
        <f t="shared" ref="F4:F32" si="0">CONCATENATE(E4,"_",$C$3)</f>
        <v>H_2_[hasta 3]</v>
      </c>
      <c r="G4" s="1"/>
      <c r="H4" s="1">
        <f>SUMIF(L!AC:AC,Datos!F4,L!T:T)</f>
        <v>2</v>
      </c>
      <c r="I4" s="1">
        <f>COUNTIF(L!AC:AC,Datos!F4)</f>
        <v>1</v>
      </c>
      <c r="J4" s="1">
        <f>SUMIF(L!AC:AC,Datos!F4,L!AD:AD)</f>
        <v>13720</v>
      </c>
      <c r="K4" s="1">
        <f>COUNTIFS(L!AC:AC,F4,L!AD:AD,"&gt;0")</f>
        <v>1</v>
      </c>
      <c r="S4">
        <v>7382109</v>
      </c>
      <c r="T4">
        <v>1</v>
      </c>
      <c r="U4" t="str">
        <v>H</v>
      </c>
      <c r="X4" s="108" t="s">
        <v>1140</v>
      </c>
      <c r="Y4" s="108">
        <f>+COUNTIF($U:$U,X4)</f>
        <v>3</v>
      </c>
      <c r="AB4">
        <f>(AB3+Y4)-Y5</f>
        <v>0</v>
      </c>
    </row>
    <row r="5" spans="2:28" x14ac:dyDescent="0.25">
      <c r="B5" s="109">
        <v>11</v>
      </c>
      <c r="C5" s="109" t="s">
        <v>1049</v>
      </c>
      <c r="E5" s="113" t="s">
        <v>1050</v>
      </c>
      <c r="F5" s="1" t="str">
        <f t="shared" si="0"/>
        <v>H_3_[hasta 3]</v>
      </c>
      <c r="G5" s="1"/>
      <c r="H5" s="1">
        <f>SUMIF(L!AC:AC,Datos!F5,L!T:T)</f>
        <v>2</v>
      </c>
      <c r="I5" s="1">
        <f>COUNTIF(L!AC:AC,Datos!F5)</f>
        <v>1</v>
      </c>
      <c r="J5" s="1">
        <f>SUMIF(L!AC:AC,Datos!F5,L!AD:AD)</f>
        <v>63896</v>
      </c>
      <c r="K5" s="1">
        <f>COUNTIFS(L!AC:AC,F5,L!AD:AD,"&gt;0")</f>
        <v>1</v>
      </c>
      <c r="S5">
        <v>7944963</v>
      </c>
      <c r="T5">
        <v>2</v>
      </c>
      <c r="U5" t="str">
        <v>H</v>
      </c>
      <c r="X5" s="108" t="s">
        <v>1141</v>
      </c>
      <c r="Y5" s="108">
        <f>SUM(Y1:Y4)</f>
        <v>232</v>
      </c>
    </row>
    <row r="6" spans="2:28" x14ac:dyDescent="0.25">
      <c r="B6" s="1">
        <v>400</v>
      </c>
      <c r="E6" s="113" t="s">
        <v>1051</v>
      </c>
      <c r="F6" s="1" t="str">
        <f t="shared" si="0"/>
        <v>H_4_[hasta 3]</v>
      </c>
      <c r="G6" s="1"/>
      <c r="H6" s="1">
        <f>SUMIF(L!AC:AC,Datos!F6,L!T:T)</f>
        <v>0</v>
      </c>
      <c r="I6" s="1">
        <f>COUNTIF(L!AC:AC,Datos!F6)</f>
        <v>0</v>
      </c>
      <c r="J6" s="1">
        <f>SUMIF(L!AC:AC,Datos!F6,L!AD:AD)</f>
        <v>0</v>
      </c>
      <c r="K6" s="1">
        <f>COUNTIFS(L!AC:AC,F6,L!AD:AD,"&gt;0")</f>
        <v>0</v>
      </c>
      <c r="S6">
        <v>8001291</v>
      </c>
      <c r="T6">
        <v>3</v>
      </c>
      <c r="U6" t="str">
        <v>H</v>
      </c>
    </row>
    <row r="7" spans="2:28" x14ac:dyDescent="0.25">
      <c r="E7" s="113" t="s">
        <v>1052</v>
      </c>
      <c r="F7" s="1" t="str">
        <f t="shared" si="0"/>
        <v>H_5A_[hasta 3]</v>
      </c>
      <c r="G7" s="1"/>
      <c r="H7" s="1">
        <f>SUMIF(L!AC:AC,Datos!F7,L!T:T)</f>
        <v>0</v>
      </c>
      <c r="I7" s="1">
        <f>COUNTIF(L!AC:AC,Datos!F7)</f>
        <v>0</v>
      </c>
      <c r="J7" s="1">
        <f>SUMIF(L!AC:AC,Datos!F7,L!AD:AD)</f>
        <v>0</v>
      </c>
      <c r="K7" s="1">
        <f>COUNTIFS(L!AC:AC,F7,L!AD:AD,"&gt;0")</f>
        <v>0</v>
      </c>
      <c r="S7">
        <v>8128838</v>
      </c>
      <c r="T7">
        <v>1</v>
      </c>
      <c r="U7" t="str">
        <v>M</v>
      </c>
    </row>
    <row r="8" spans="2:28" x14ac:dyDescent="0.25">
      <c r="E8" s="113" t="s">
        <v>1053</v>
      </c>
      <c r="F8" s="1" t="str">
        <f t="shared" si="0"/>
        <v>H_5B_[hasta 3]</v>
      </c>
      <c r="G8" s="1"/>
      <c r="H8" s="1">
        <f>SUMIF(L!AC:AC,Datos!F8,L!T:T)</f>
        <v>0</v>
      </c>
      <c r="I8" s="1">
        <f>COUNTIF(L!AC:AC,Datos!F8)</f>
        <v>0</v>
      </c>
      <c r="J8" s="1">
        <f>SUMIF(L!AC:AC,Datos!F8,L!AD:AD)</f>
        <v>0</v>
      </c>
      <c r="K8" s="1">
        <f>COUNTIFS(L!AC:AC,F8,L!AD:AD,"&gt;0")</f>
        <v>0</v>
      </c>
      <c r="S8">
        <v>8322183</v>
      </c>
      <c r="T8">
        <v>2</v>
      </c>
      <c r="U8" t="str">
        <v>H</v>
      </c>
    </row>
    <row r="9" spans="2:28" x14ac:dyDescent="0.25">
      <c r="B9" s="109" t="s">
        <v>1037</v>
      </c>
      <c r="C9" s="109" t="s">
        <v>1054</v>
      </c>
      <c r="E9" s="113" t="s">
        <v>1055</v>
      </c>
      <c r="F9" s="1" t="str">
        <f t="shared" si="0"/>
        <v>H_6A_[hasta 3]</v>
      </c>
      <c r="G9" s="1"/>
      <c r="H9" s="1">
        <f>SUMIF(L!AC:AC,Datos!F9,L!T:T)</f>
        <v>0</v>
      </c>
      <c r="I9" s="1">
        <f>COUNTIF(L!AC:AC,Datos!F9)</f>
        <v>0</v>
      </c>
      <c r="J9" s="1">
        <f>SUMIF(L!AC:AC,Datos!F9,L!AD:AD)</f>
        <v>0</v>
      </c>
      <c r="K9" s="1">
        <f>COUNTIFS(L!AC:AC,F9,L!AD:AD,"&gt;0")</f>
        <v>0</v>
      </c>
      <c r="S9">
        <v>8376358</v>
      </c>
      <c r="T9">
        <v>2</v>
      </c>
      <c r="U9" t="str">
        <v>M</v>
      </c>
    </row>
    <row r="10" spans="2:28" x14ac:dyDescent="0.25">
      <c r="B10" s="113" t="s">
        <v>1045</v>
      </c>
      <c r="C10" s="109" t="s">
        <v>1056</v>
      </c>
      <c r="E10" s="113" t="s">
        <v>1057</v>
      </c>
      <c r="F10" s="1" t="str">
        <f t="shared" si="0"/>
        <v>H_6B_[hasta 3]</v>
      </c>
      <c r="G10" s="1"/>
      <c r="H10" s="1">
        <f>SUMIF(L!AC:AC,Datos!F10,L!T:T)</f>
        <v>0</v>
      </c>
      <c r="I10" s="1">
        <f>COUNTIF(L!AC:AC,Datos!F10)</f>
        <v>0</v>
      </c>
      <c r="J10" s="1">
        <f>SUMIF(L!AC:AC,Datos!F10,L!AD:AD)</f>
        <v>0</v>
      </c>
      <c r="K10" s="1">
        <f>COUNTIFS(L!AC:AC,F10,L!AD:AD,"&gt;0")</f>
        <v>0</v>
      </c>
      <c r="S10">
        <v>8396904</v>
      </c>
      <c r="T10">
        <v>1</v>
      </c>
      <c r="U10" t="str">
        <v>M</v>
      </c>
    </row>
    <row r="11" spans="2:28" x14ac:dyDescent="0.25">
      <c r="B11" s="113" t="s">
        <v>1048</v>
      </c>
      <c r="C11" s="109" t="s">
        <v>1058</v>
      </c>
      <c r="E11" s="113" t="s">
        <v>1059</v>
      </c>
      <c r="F11" s="1" t="str">
        <f t="shared" si="0"/>
        <v>H_7_[hasta 3]</v>
      </c>
      <c r="G11" s="1"/>
      <c r="H11" s="1">
        <f>SUMIF(L!AC:AC,Datos!F11,L!T:T)</f>
        <v>0</v>
      </c>
      <c r="I11" s="1">
        <f>COUNTIF(L!AC:AC,Datos!F11)</f>
        <v>0</v>
      </c>
      <c r="J11" s="1">
        <f>SUMIF(L!AC:AC,Datos!F11,L!AD:AD)</f>
        <v>0</v>
      </c>
      <c r="K11" s="1">
        <f>COUNTIFS(L!AC:AC,F11,L!AD:AD,"&gt;0")</f>
        <v>0</v>
      </c>
      <c r="S11">
        <v>8478575</v>
      </c>
      <c r="T11">
        <v>1</v>
      </c>
      <c r="U11" t="str">
        <v>H</v>
      </c>
    </row>
    <row r="12" spans="2:28" x14ac:dyDescent="0.25">
      <c r="B12" s="113" t="s">
        <v>1050</v>
      </c>
      <c r="C12" s="109" t="s">
        <v>1060</v>
      </c>
      <c r="E12" s="113" t="s">
        <v>1061</v>
      </c>
      <c r="F12" s="1" t="str">
        <f t="shared" si="0"/>
        <v>H_8_[hasta 3]</v>
      </c>
      <c r="G12" s="1"/>
      <c r="H12" s="1">
        <f>SUMIF(L!AC:AC,Datos!F12,L!T:T)</f>
        <v>0</v>
      </c>
      <c r="I12" s="1">
        <f>COUNTIF(L!AC:AC,Datos!F12)</f>
        <v>0</v>
      </c>
      <c r="J12" s="1">
        <f>SUMIF(L!AC:AC,Datos!F12,L!AD:AD)</f>
        <v>0</v>
      </c>
      <c r="K12" s="1">
        <f>COUNTIFS(L!AC:AC,F12,L!AD:AD,"&gt;0")</f>
        <v>0</v>
      </c>
      <c r="S12">
        <v>8508131</v>
      </c>
      <c r="T12">
        <v>1</v>
      </c>
      <c r="U12" t="str">
        <v>M</v>
      </c>
    </row>
    <row r="13" spans="2:28" x14ac:dyDescent="0.25">
      <c r="B13" s="113" t="s">
        <v>1051</v>
      </c>
      <c r="C13" s="109" t="s">
        <v>1062</v>
      </c>
      <c r="E13" s="113" t="s">
        <v>1063</v>
      </c>
      <c r="F13" s="1" t="str">
        <f t="shared" si="0"/>
        <v>H_9_[hasta 3]</v>
      </c>
      <c r="G13" s="1"/>
      <c r="H13" s="1">
        <f>SUMIF(L!AC:AC,Datos!F13,L!T:T)</f>
        <v>0</v>
      </c>
      <c r="I13" s="1">
        <f>COUNTIF(L!AC:AC,Datos!F13)</f>
        <v>0</v>
      </c>
      <c r="J13" s="1">
        <f>SUMIF(L!AC:AC,Datos!F13,L!AD:AD)</f>
        <v>0</v>
      </c>
      <c r="K13" s="1">
        <f>COUNTIFS(L!AC:AC,F13,L!AD:AD,"&gt;0")</f>
        <v>0</v>
      </c>
      <c r="S13">
        <v>8515917</v>
      </c>
      <c r="T13">
        <v>1</v>
      </c>
      <c r="U13" t="str">
        <v>M</v>
      </c>
    </row>
    <row r="14" spans="2:28" x14ac:dyDescent="0.25">
      <c r="B14" s="113" t="s">
        <v>1052</v>
      </c>
      <c r="C14" s="109" t="s">
        <v>1064</v>
      </c>
      <c r="E14" s="113" t="s">
        <v>1065</v>
      </c>
      <c r="F14" s="1" t="str">
        <f t="shared" si="0"/>
        <v>H_10_[hasta 3]</v>
      </c>
      <c r="G14" s="1"/>
      <c r="H14" s="1">
        <f>SUMIF(L!AC:AC,Datos!F14,L!T:T)</f>
        <v>0</v>
      </c>
      <c r="I14" s="1">
        <f>COUNTIF(L!AC:AC,Datos!F14)</f>
        <v>0</v>
      </c>
      <c r="J14" s="1">
        <f>SUMIF(L!AC:AC,Datos!F14,L!AD:AD)</f>
        <v>0</v>
      </c>
      <c r="K14" s="1">
        <f>COUNTIFS(L!AC:AC,F14,L!AD:AD,"&gt;0")</f>
        <v>0</v>
      </c>
      <c r="S14">
        <v>8649147</v>
      </c>
      <c r="T14">
        <v>2</v>
      </c>
      <c r="U14" t="str">
        <v>M</v>
      </c>
    </row>
    <row r="15" spans="2:28" x14ac:dyDescent="0.25">
      <c r="B15" s="113" t="s">
        <v>1053</v>
      </c>
      <c r="C15" s="109" t="s">
        <v>1066</v>
      </c>
      <c r="E15" s="113" t="s">
        <v>1067</v>
      </c>
      <c r="F15" s="1" t="str">
        <f t="shared" si="0"/>
        <v>H_11_[hasta 3]</v>
      </c>
      <c r="G15" s="1"/>
      <c r="H15" s="1">
        <f>SUMIF(L!AC:AC,Datos!F15,L!T:T)</f>
        <v>0</v>
      </c>
      <c r="I15" s="1">
        <f>COUNTIF(L!AC:AC,Datos!F15)</f>
        <v>0</v>
      </c>
      <c r="J15" s="1">
        <f>SUMIF(L!AC:AC,Datos!F15,L!AD:AD)</f>
        <v>0</v>
      </c>
      <c r="K15" s="1">
        <f>COUNTIFS(L!AC:AC,F15,L!AD:AD,"&gt;0")</f>
        <v>0</v>
      </c>
      <c r="S15">
        <v>8705876</v>
      </c>
      <c r="T15">
        <v>1</v>
      </c>
      <c r="U15" t="str">
        <v>H</v>
      </c>
    </row>
    <row r="16" spans="2:28" x14ac:dyDescent="0.25">
      <c r="B16" s="113" t="s">
        <v>1055</v>
      </c>
      <c r="C16" s="109" t="s">
        <v>1068</v>
      </c>
      <c r="E16" s="113" t="s">
        <v>1069</v>
      </c>
      <c r="F16" s="1" t="str">
        <f t="shared" si="0"/>
        <v>H_12_[hasta 3]</v>
      </c>
      <c r="G16" s="1"/>
      <c r="H16" s="1">
        <f>SUMIF(L!AC:AC,Datos!F16,L!T:T)</f>
        <v>0</v>
      </c>
      <c r="I16" s="1">
        <f>COUNTIF(L!AC:AC,Datos!F16)</f>
        <v>0</v>
      </c>
      <c r="J16" s="1">
        <f>SUMIF(L!AC:AC,Datos!F16,L!AD:AD)</f>
        <v>0</v>
      </c>
      <c r="K16" s="1">
        <f>COUNTIFS(L!AC:AC,F16,L!AD:AD,"&gt;0")</f>
        <v>0</v>
      </c>
      <c r="S16">
        <v>8851632</v>
      </c>
      <c r="T16">
        <v>2</v>
      </c>
      <c r="U16" t="str">
        <v>M</v>
      </c>
    </row>
    <row r="17" spans="2:21" x14ac:dyDescent="0.25">
      <c r="B17" s="113" t="s">
        <v>1057</v>
      </c>
      <c r="C17" s="109" t="s">
        <v>1070</v>
      </c>
      <c r="E17" s="113" t="s">
        <v>1071</v>
      </c>
      <c r="F17" s="1" t="str">
        <f t="shared" si="0"/>
        <v>H_13_[hasta 3]</v>
      </c>
      <c r="G17" s="1"/>
      <c r="H17" s="1">
        <f>SUMIF(L!AC:AC,Datos!F17,L!T:T)</f>
        <v>0</v>
      </c>
      <c r="I17" s="1">
        <f>COUNTIF(L!AC:AC,Datos!F17)</f>
        <v>0</v>
      </c>
      <c r="J17" s="1">
        <f>SUMIF(L!AC:AC,Datos!F17,L!AD:AD)</f>
        <v>0</v>
      </c>
      <c r="K17" s="1">
        <f>COUNTIFS(L!AC:AC,F17,L!AD:AD,"&gt;0")</f>
        <v>0</v>
      </c>
      <c r="S17">
        <v>8863875</v>
      </c>
      <c r="T17">
        <v>1</v>
      </c>
      <c r="U17" t="str">
        <v>H</v>
      </c>
    </row>
    <row r="18" spans="2:21" x14ac:dyDescent="0.25">
      <c r="B18" s="113" t="s">
        <v>1059</v>
      </c>
      <c r="C18" s="109" t="s">
        <v>1072</v>
      </c>
      <c r="E18" s="114" t="s">
        <v>1073</v>
      </c>
      <c r="F18" s="1" t="str">
        <f t="shared" si="0"/>
        <v>M_1_[hasta 3]</v>
      </c>
      <c r="G18" s="1"/>
      <c r="H18" s="1">
        <f>SUMIF(L!AC:AC,Datos!F18,L!T:T)</f>
        <v>223</v>
      </c>
      <c r="I18" s="1">
        <f>COUNTIF(L!AC:AC,Datos!F18)</f>
        <v>105</v>
      </c>
      <c r="J18" s="1">
        <f>SUMIF(L!AC:AC,Datos!F18,L!AD:AD)</f>
        <v>7656674</v>
      </c>
      <c r="K18" s="1">
        <f>COUNTIFS(L!AC:AC,F18,L!AD:AD,"&gt;0")</f>
        <v>103</v>
      </c>
      <c r="S18">
        <v>8961152</v>
      </c>
      <c r="T18">
        <v>1</v>
      </c>
      <c r="U18" t="str">
        <v>M</v>
      </c>
    </row>
    <row r="19" spans="2:21" x14ac:dyDescent="0.25">
      <c r="B19" s="113" t="s">
        <v>1061</v>
      </c>
      <c r="C19" s="109" t="s">
        <v>1074</v>
      </c>
      <c r="E19" s="114" t="s">
        <v>1075</v>
      </c>
      <c r="F19" s="1" t="str">
        <f t="shared" si="0"/>
        <v>M_2_[hasta 3]</v>
      </c>
      <c r="G19" s="1"/>
      <c r="H19" s="1">
        <f>SUMIF(L!AC:AC,Datos!F19,L!T:T)</f>
        <v>3</v>
      </c>
      <c r="I19" s="1">
        <f>COUNTIF(L!AC:AC,Datos!F19)</f>
        <v>2</v>
      </c>
      <c r="J19" s="1">
        <f>SUMIF(L!AC:AC,Datos!F19,L!AD:AD)</f>
        <v>226534</v>
      </c>
      <c r="K19" s="1">
        <f>COUNTIFS(L!AC:AC,F19,L!AD:AD,"&gt;0")</f>
        <v>2</v>
      </c>
      <c r="S19">
        <v>8998704</v>
      </c>
      <c r="T19">
        <v>1</v>
      </c>
      <c r="U19" t="str">
        <v>M</v>
      </c>
    </row>
    <row r="20" spans="2:21" x14ac:dyDescent="0.25">
      <c r="B20" s="113" t="s">
        <v>1063</v>
      </c>
      <c r="C20" s="109" t="s">
        <v>1076</v>
      </c>
      <c r="E20" s="114" t="s">
        <v>1077</v>
      </c>
      <c r="F20" s="1" t="str">
        <f t="shared" si="0"/>
        <v>M_3_[hasta 3]</v>
      </c>
      <c r="G20" s="1"/>
      <c r="H20" s="1">
        <f>SUMIF(L!AC:AC,Datos!F20,L!T:T)</f>
        <v>0</v>
      </c>
      <c r="I20" s="1">
        <f>COUNTIF(L!AC:AC,Datos!F20)</f>
        <v>0</v>
      </c>
      <c r="J20" s="1">
        <f>SUMIF(L!AC:AC,Datos!F20,L!AD:AD)</f>
        <v>0</v>
      </c>
      <c r="K20" s="1">
        <f>COUNTIFS(L!AC:AC,F20,L!AD:AD,"&gt;0")</f>
        <v>0</v>
      </c>
      <c r="S20">
        <v>9071519</v>
      </c>
      <c r="T20">
        <v>1</v>
      </c>
      <c r="U20" t="str">
        <v>H</v>
      </c>
    </row>
    <row r="21" spans="2:21" x14ac:dyDescent="0.25">
      <c r="B21" s="113" t="s">
        <v>1065</v>
      </c>
      <c r="C21" s="109" t="s">
        <v>1078</v>
      </c>
      <c r="E21" s="114" t="s">
        <v>1079</v>
      </c>
      <c r="F21" s="1" t="str">
        <f t="shared" si="0"/>
        <v>M_4_[hasta 3]</v>
      </c>
      <c r="G21" s="1"/>
      <c r="H21" s="1">
        <f>SUMIF(L!AC:AC,Datos!F21,L!T:T)</f>
        <v>0</v>
      </c>
      <c r="I21" s="1">
        <f>COUNTIF(L!AC:AC,Datos!F21)</f>
        <v>0</v>
      </c>
      <c r="J21" s="1">
        <f>SUMIF(L!AC:AC,Datos!F21,L!AD:AD)</f>
        <v>0</v>
      </c>
      <c r="K21" s="1">
        <f>COUNTIFS(L!AC:AC,F21,L!AD:AD,"&gt;0")</f>
        <v>0</v>
      </c>
      <c r="S21">
        <v>9117458</v>
      </c>
      <c r="T21">
        <v>2</v>
      </c>
      <c r="U21" t="str">
        <v>H</v>
      </c>
    </row>
    <row r="22" spans="2:21" x14ac:dyDescent="0.25">
      <c r="B22" s="113" t="s">
        <v>1067</v>
      </c>
      <c r="C22" s="109" t="s">
        <v>1080</v>
      </c>
      <c r="E22" s="114" t="s">
        <v>1081</v>
      </c>
      <c r="F22" s="1" t="str">
        <f t="shared" si="0"/>
        <v>M_5A_[hasta 3]</v>
      </c>
      <c r="G22" s="1"/>
      <c r="H22" s="1">
        <f>SUMIF(L!AC:AC,Datos!F22,L!T:T)</f>
        <v>0</v>
      </c>
      <c r="I22" s="1">
        <f>COUNTIF(L!AC:AC,Datos!F22)</f>
        <v>0</v>
      </c>
      <c r="J22" s="1">
        <f>SUMIF(L!AC:AC,Datos!F22,L!AD:AD)</f>
        <v>0</v>
      </c>
      <c r="K22" s="1">
        <f>COUNTIFS(L!AC:AC,F22,L!AD:AD,"&gt;0")</f>
        <v>0</v>
      </c>
      <c r="S22">
        <v>9124197</v>
      </c>
      <c r="T22">
        <v>3</v>
      </c>
      <c r="U22" t="str">
        <v>M</v>
      </c>
    </row>
    <row r="23" spans="2:21" x14ac:dyDescent="0.25">
      <c r="B23" s="113" t="s">
        <v>1069</v>
      </c>
      <c r="C23" s="109" t="s">
        <v>1082</v>
      </c>
      <c r="E23" s="114" t="s">
        <v>1083</v>
      </c>
      <c r="F23" s="1" t="str">
        <f t="shared" si="0"/>
        <v>M_5B_[hasta 3]</v>
      </c>
      <c r="G23" s="1"/>
      <c r="H23" s="1">
        <f>SUMIF(L!AC:AC,Datos!F23,L!T:T)</f>
        <v>0</v>
      </c>
      <c r="I23" s="1">
        <f>COUNTIF(L!AC:AC,Datos!F23)</f>
        <v>0</v>
      </c>
      <c r="J23" s="1">
        <f>SUMIF(L!AC:AC,Datos!F23,L!AD:AD)</f>
        <v>0</v>
      </c>
      <c r="K23" s="1">
        <f>COUNTIFS(L!AC:AC,F23,L!AD:AD,"&gt;0")</f>
        <v>0</v>
      </c>
      <c r="S23">
        <v>9210273</v>
      </c>
      <c r="T23">
        <v>2</v>
      </c>
      <c r="U23" t="str">
        <v>M</v>
      </c>
    </row>
    <row r="24" spans="2:21" x14ac:dyDescent="0.25">
      <c r="B24" s="113" t="s">
        <v>1071</v>
      </c>
      <c r="C24" s="109" t="s">
        <v>1084</v>
      </c>
      <c r="E24" s="114" t="s">
        <v>1085</v>
      </c>
      <c r="F24" s="1" t="str">
        <f t="shared" si="0"/>
        <v>M_6A_[hasta 3]</v>
      </c>
      <c r="G24" s="1"/>
      <c r="H24" s="1">
        <f>SUMIF(L!AC:AC,Datos!F24,L!T:T)</f>
        <v>0</v>
      </c>
      <c r="I24" s="1">
        <f>COUNTIF(L!AC:AC,Datos!F24)</f>
        <v>0</v>
      </c>
      <c r="J24" s="1">
        <f>SUMIF(L!AC:AC,Datos!F24,L!AD:AD)</f>
        <v>0</v>
      </c>
      <c r="K24" s="1">
        <f>COUNTIFS(L!AC:AC,F24,L!AD:AD,"&gt;0")</f>
        <v>0</v>
      </c>
      <c r="S24">
        <v>9212310</v>
      </c>
      <c r="T24">
        <v>2</v>
      </c>
      <c r="U24" t="str">
        <v>H</v>
      </c>
    </row>
    <row r="25" spans="2:21" x14ac:dyDescent="0.25">
      <c r="B25" s="114" t="s">
        <v>1073</v>
      </c>
      <c r="C25" s="109" t="s">
        <v>1086</v>
      </c>
      <c r="E25" s="114" t="s">
        <v>1087</v>
      </c>
      <c r="F25" s="1" t="str">
        <f t="shared" si="0"/>
        <v>M_6B_[hasta 3]</v>
      </c>
      <c r="G25" s="1"/>
      <c r="H25" s="1">
        <f>SUMIF(L!AC:AC,Datos!F25,L!T:T)</f>
        <v>0</v>
      </c>
      <c r="I25" s="1">
        <f>COUNTIF(L!AC:AC,Datos!F25)</f>
        <v>0</v>
      </c>
      <c r="J25" s="1">
        <f>SUMIF(L!AC:AC,Datos!F25,L!AD:AD)</f>
        <v>0</v>
      </c>
      <c r="K25" s="1">
        <f>COUNTIFS(L!AC:AC,F25,L!AD:AD,"&gt;0")</f>
        <v>0</v>
      </c>
      <c r="S25">
        <v>9351262</v>
      </c>
      <c r="T25">
        <v>2</v>
      </c>
      <c r="U25" t="str">
        <v>M</v>
      </c>
    </row>
    <row r="26" spans="2:21" x14ac:dyDescent="0.25">
      <c r="B26" s="114" t="s">
        <v>1075</v>
      </c>
      <c r="C26" s="109" t="s">
        <v>1088</v>
      </c>
      <c r="E26" s="114" t="s">
        <v>1089</v>
      </c>
      <c r="F26" s="1" t="str">
        <f t="shared" si="0"/>
        <v>M_7_[hasta 3]</v>
      </c>
      <c r="G26" s="1"/>
      <c r="H26" s="1">
        <f>SUMIF(L!AC:AC,Datos!F26,L!T:T)</f>
        <v>0</v>
      </c>
      <c r="I26" s="1">
        <f>COUNTIF(L!AC:AC,Datos!F26)</f>
        <v>0</v>
      </c>
      <c r="J26" s="1">
        <f>SUMIF(L!AC:AC,Datos!F26,L!AD:AD)</f>
        <v>0</v>
      </c>
      <c r="K26" s="1">
        <f>COUNTIFS(L!AC:AC,F26,L!AD:AD,"&gt;0")</f>
        <v>0</v>
      </c>
      <c r="S26">
        <v>9354062</v>
      </c>
      <c r="T26">
        <v>1</v>
      </c>
      <c r="U26" t="str">
        <v>H</v>
      </c>
    </row>
    <row r="27" spans="2:21" x14ac:dyDescent="0.25">
      <c r="B27" s="114" t="s">
        <v>1077</v>
      </c>
      <c r="C27" s="109" t="s">
        <v>1090</v>
      </c>
      <c r="E27" s="114" t="s">
        <v>1091</v>
      </c>
      <c r="F27" s="1" t="str">
        <f t="shared" si="0"/>
        <v>M_8_[hasta 3]</v>
      </c>
      <c r="G27" s="1"/>
      <c r="H27" s="1">
        <f>SUMIF(L!AC:AC,Datos!F27,L!T:T)</f>
        <v>0</v>
      </c>
      <c r="I27" s="1">
        <f>COUNTIF(L!AC:AC,Datos!F27)</f>
        <v>0</v>
      </c>
      <c r="J27" s="1">
        <f>SUMIF(L!AC:AC,Datos!F27,L!AD:AD)</f>
        <v>0</v>
      </c>
      <c r="K27" s="1">
        <f>COUNTIFS(L!AC:AC,F27,L!AD:AD,"&gt;0")</f>
        <v>0</v>
      </c>
      <c r="S27">
        <v>9400812</v>
      </c>
      <c r="T27">
        <v>1</v>
      </c>
      <c r="U27" t="str">
        <v>H</v>
      </c>
    </row>
    <row r="28" spans="2:21" x14ac:dyDescent="0.25">
      <c r="B28" s="114" t="s">
        <v>1079</v>
      </c>
      <c r="C28" s="109" t="s">
        <v>1092</v>
      </c>
      <c r="E28" s="114" t="s">
        <v>1093</v>
      </c>
      <c r="F28" s="1" t="str">
        <f t="shared" si="0"/>
        <v>M_9_[hasta 3]</v>
      </c>
      <c r="G28" s="1"/>
      <c r="H28" s="1">
        <f>SUMIF(L!AC:AC,Datos!F28,L!T:T)</f>
        <v>0</v>
      </c>
      <c r="I28" s="1">
        <f>COUNTIF(L!AC:AC,Datos!F28)</f>
        <v>0</v>
      </c>
      <c r="J28" s="1">
        <f>SUMIF(L!AC:AC,Datos!F28,L!AD:AD)</f>
        <v>0</v>
      </c>
      <c r="K28" s="1">
        <f>COUNTIFS(L!AC:AC,F28,L!AD:AD,"&gt;0")</f>
        <v>0</v>
      </c>
      <c r="S28">
        <v>9629688</v>
      </c>
      <c r="T28">
        <v>1</v>
      </c>
      <c r="U28" t="str">
        <v>M</v>
      </c>
    </row>
    <row r="29" spans="2:21" x14ac:dyDescent="0.25">
      <c r="B29" s="114" t="s">
        <v>1081</v>
      </c>
      <c r="C29" s="109" t="s">
        <v>1094</v>
      </c>
      <c r="E29" s="114" t="s">
        <v>1095</v>
      </c>
      <c r="F29" s="1" t="str">
        <f t="shared" si="0"/>
        <v>M_10_[hasta 3]</v>
      </c>
      <c r="G29" s="1"/>
      <c r="H29" s="1">
        <f>SUMIF(L!AC:AC,Datos!F29,L!T:T)</f>
        <v>0</v>
      </c>
      <c r="I29" s="1">
        <f>COUNTIF(L!AC:AC,Datos!F29)</f>
        <v>0</v>
      </c>
      <c r="J29" s="1">
        <f>SUMIF(L!AC:AC,Datos!F29,L!AD:AD)</f>
        <v>0</v>
      </c>
      <c r="K29" s="1">
        <f>COUNTIFS(L!AC:AC,F29,L!AD:AD,"&gt;0")</f>
        <v>0</v>
      </c>
      <c r="S29">
        <v>9765995</v>
      </c>
      <c r="T29">
        <v>1</v>
      </c>
      <c r="U29" t="str">
        <v>M</v>
      </c>
    </row>
    <row r="30" spans="2:21" x14ac:dyDescent="0.25">
      <c r="B30" s="114" t="s">
        <v>1083</v>
      </c>
      <c r="C30" s="109" t="s">
        <v>1096</v>
      </c>
      <c r="E30" s="114" t="s">
        <v>1097</v>
      </c>
      <c r="F30" s="1" t="str">
        <f t="shared" si="0"/>
        <v>M_11_[hasta 3]</v>
      </c>
      <c r="G30" s="1"/>
      <c r="H30" s="1">
        <f>SUMIF(L!AC:AC,Datos!F30,L!T:T)</f>
        <v>0</v>
      </c>
      <c r="I30" s="1">
        <f>COUNTIF(L!AC:AC,Datos!F30)</f>
        <v>0</v>
      </c>
      <c r="J30" s="1">
        <f>SUMIF(L!AC:AC,Datos!F30,L!AD:AD)</f>
        <v>0</v>
      </c>
      <c r="K30" s="1">
        <f>COUNTIFS(L!AC:AC,F30,L!AD:AD,"&gt;0")</f>
        <v>0</v>
      </c>
      <c r="S30">
        <v>9796664</v>
      </c>
      <c r="T30">
        <v>1</v>
      </c>
      <c r="U30" t="str">
        <v>M</v>
      </c>
    </row>
    <row r="31" spans="2:21" x14ac:dyDescent="0.25">
      <c r="B31" s="114" t="s">
        <v>1085</v>
      </c>
      <c r="C31" s="109" t="s">
        <v>1098</v>
      </c>
      <c r="E31" s="114" t="s">
        <v>1099</v>
      </c>
      <c r="F31" s="1" t="str">
        <f t="shared" si="0"/>
        <v>M_12_[hasta 3]</v>
      </c>
      <c r="G31" s="1"/>
      <c r="H31" s="1">
        <f>SUMIF(L!AC:AC,Datos!F31,L!T:T)</f>
        <v>0</v>
      </c>
      <c r="I31" s="1">
        <f>COUNTIF(L!AC:AC,Datos!F31)</f>
        <v>0</v>
      </c>
      <c r="J31" s="1">
        <f>SUMIF(L!AC:AC,Datos!F31,L!AD:AD)</f>
        <v>0</v>
      </c>
      <c r="K31" s="1">
        <f>COUNTIFS(L!AC:AC,F31,L!AD:AD,"&gt;0")</f>
        <v>0</v>
      </c>
      <c r="S31">
        <v>9910571</v>
      </c>
      <c r="T31">
        <v>1</v>
      </c>
      <c r="U31" t="str">
        <v>M</v>
      </c>
    </row>
    <row r="32" spans="2:21" x14ac:dyDescent="0.25">
      <c r="B32" s="114" t="s">
        <v>1087</v>
      </c>
      <c r="C32" s="109" t="s">
        <v>1100</v>
      </c>
      <c r="E32" s="114" t="s">
        <v>1101</v>
      </c>
      <c r="F32" s="1" t="str">
        <f t="shared" si="0"/>
        <v>M_13_[hasta 3]</v>
      </c>
      <c r="G32" s="1"/>
      <c r="H32" s="1">
        <f>SUMIF(L!AC:AC,Datos!F32,L!T:T)</f>
        <v>0</v>
      </c>
      <c r="I32" s="1">
        <f>COUNTIF(L!AC:AC,Datos!F32)</f>
        <v>0</v>
      </c>
      <c r="J32" s="1">
        <f>SUMIF(L!AC:AC,Datos!F32,L!AD:AD)</f>
        <v>0</v>
      </c>
      <c r="K32" s="1">
        <f>COUNTIFS(L!AC:AC,F32,L!AD:AD,"&gt;0")</f>
        <v>0</v>
      </c>
      <c r="S32">
        <v>9921999</v>
      </c>
      <c r="T32">
        <v>2</v>
      </c>
      <c r="U32" t="str">
        <v>M</v>
      </c>
    </row>
    <row r="33" spans="2:21" x14ac:dyDescent="0.25">
      <c r="B33" s="114" t="s">
        <v>1089</v>
      </c>
      <c r="C33" s="109" t="s">
        <v>1102</v>
      </c>
      <c r="E33" s="113" t="s">
        <v>1045</v>
      </c>
      <c r="F33" s="1" t="str">
        <f>CONCATENATE(E33,"_",$C$4)</f>
        <v>H_1_[4 a 10]</v>
      </c>
      <c r="G33" s="1"/>
      <c r="H33" s="1">
        <f>SUMIF(L!AC:AC,Datos!F33,L!T:T)</f>
        <v>93</v>
      </c>
      <c r="I33" s="1">
        <f>COUNTIF(L!AC:AC,Datos!F33)</f>
        <v>16</v>
      </c>
      <c r="J33" s="1">
        <f>SUMIF(L!AC:AC,Datos!F33,L!AD:AD)</f>
        <v>8827392</v>
      </c>
      <c r="K33" s="1">
        <f>COUNTIFS(L!AC:AC,F33,L!AD:AD,"&gt;0")</f>
        <v>16</v>
      </c>
      <c r="S33">
        <v>10027670</v>
      </c>
      <c r="T33">
        <v>3</v>
      </c>
      <c r="U33" t="str">
        <v>H</v>
      </c>
    </row>
    <row r="34" spans="2:21" x14ac:dyDescent="0.25">
      <c r="B34" s="114" t="s">
        <v>1091</v>
      </c>
      <c r="C34" s="109" t="s">
        <v>1103</v>
      </c>
      <c r="E34" s="113" t="s">
        <v>1048</v>
      </c>
      <c r="F34" s="1" t="str">
        <f t="shared" ref="F34:F62" si="1">CONCATENATE(E34,"_",$C$4)</f>
        <v>H_2_[4 a 10]</v>
      </c>
      <c r="G34" s="1"/>
      <c r="H34" s="1">
        <f>SUMIF(L!AC:AC,Datos!F34,L!T:T)</f>
        <v>0</v>
      </c>
      <c r="I34" s="1">
        <f>COUNTIF(L!AC:AC,Datos!F34)</f>
        <v>0</v>
      </c>
      <c r="J34" s="1">
        <f>SUMIF(L!AC:AC,Datos!F34,L!AD:AD)</f>
        <v>0</v>
      </c>
      <c r="K34" s="1">
        <f>COUNTIFS(L!AC:AC,F34,L!AD:AD,"&gt;0")</f>
        <v>0</v>
      </c>
      <c r="S34">
        <v>10091655</v>
      </c>
      <c r="T34">
        <v>1</v>
      </c>
      <c r="U34" t="str">
        <v>M</v>
      </c>
    </row>
    <row r="35" spans="2:21" x14ac:dyDescent="0.25">
      <c r="B35" s="114" t="s">
        <v>1093</v>
      </c>
      <c r="C35" s="109" t="s">
        <v>1104</v>
      </c>
      <c r="E35" s="113" t="s">
        <v>1050</v>
      </c>
      <c r="F35" s="1" t="str">
        <f t="shared" si="1"/>
        <v>H_3_[4 a 10]</v>
      </c>
      <c r="G35" s="1"/>
      <c r="H35" s="1">
        <f>SUMIF(L!AC:AC,Datos!F35,L!T:T)</f>
        <v>0</v>
      </c>
      <c r="I35" s="1">
        <f>COUNTIF(L!AC:AC,Datos!F35)</f>
        <v>0</v>
      </c>
      <c r="J35" s="1">
        <f>SUMIF(L!AC:AC,Datos!F35,L!AD:AD)</f>
        <v>0</v>
      </c>
      <c r="K35" s="1">
        <f>COUNTIFS(L!AC:AC,F35,L!AD:AD,"&gt;0")</f>
        <v>0</v>
      </c>
      <c r="S35">
        <v>10102555</v>
      </c>
      <c r="T35">
        <v>1</v>
      </c>
      <c r="U35" t="str">
        <v>M</v>
      </c>
    </row>
    <row r="36" spans="2:21" x14ac:dyDescent="0.25">
      <c r="B36" s="114" t="s">
        <v>1095</v>
      </c>
      <c r="C36" s="109" t="s">
        <v>1105</v>
      </c>
      <c r="E36" s="113" t="s">
        <v>1051</v>
      </c>
      <c r="F36" s="1" t="str">
        <f t="shared" si="1"/>
        <v>H_4_[4 a 10]</v>
      </c>
      <c r="G36" s="1"/>
      <c r="H36" s="1">
        <f>SUMIF(L!AC:AC,Datos!F36,L!T:T)</f>
        <v>0</v>
      </c>
      <c r="I36" s="1">
        <f>COUNTIF(L!AC:AC,Datos!F36)</f>
        <v>0</v>
      </c>
      <c r="J36" s="1">
        <f>SUMIF(L!AC:AC,Datos!F36,L!AD:AD)</f>
        <v>0</v>
      </c>
      <c r="K36" s="1">
        <f>COUNTIFS(L!AC:AC,F36,L!AD:AD,"&gt;0")</f>
        <v>0</v>
      </c>
      <c r="S36">
        <v>10122155</v>
      </c>
      <c r="T36">
        <v>4</v>
      </c>
      <c r="U36" t="str">
        <v>M</v>
      </c>
    </row>
    <row r="37" spans="2:21" x14ac:dyDescent="0.25">
      <c r="B37" s="114" t="s">
        <v>1097</v>
      </c>
      <c r="C37" s="109" t="s">
        <v>1106</v>
      </c>
      <c r="E37" s="113" t="s">
        <v>1052</v>
      </c>
      <c r="F37" s="1" t="str">
        <f t="shared" si="1"/>
        <v>H_5A_[4 a 10]</v>
      </c>
      <c r="G37" s="1"/>
      <c r="H37" s="1">
        <f>SUMIF(L!AC:AC,Datos!F37,L!T:T)</f>
        <v>0</v>
      </c>
      <c r="I37" s="1">
        <f>COUNTIF(L!AC:AC,Datos!F37)</f>
        <v>0</v>
      </c>
      <c r="J37" s="1">
        <f>SUMIF(L!AC:AC,Datos!F37,L!AD:AD)</f>
        <v>0</v>
      </c>
      <c r="K37" s="1">
        <f>COUNTIFS(L!AC:AC,F37,L!AD:AD,"&gt;0")</f>
        <v>0</v>
      </c>
      <c r="S37">
        <v>10123725</v>
      </c>
      <c r="T37">
        <v>1</v>
      </c>
      <c r="U37" t="str">
        <v>M</v>
      </c>
    </row>
    <row r="38" spans="2:21" x14ac:dyDescent="0.25">
      <c r="B38" s="114" t="s">
        <v>1099</v>
      </c>
      <c r="C38" s="109" t="s">
        <v>1107</v>
      </c>
      <c r="E38" s="113" t="s">
        <v>1053</v>
      </c>
      <c r="F38" s="1" t="str">
        <f t="shared" si="1"/>
        <v>H_5B_[4 a 10]</v>
      </c>
      <c r="G38" s="1"/>
      <c r="H38" s="1">
        <f>SUMIF(L!AC:AC,Datos!F38,L!T:T)</f>
        <v>0</v>
      </c>
      <c r="I38" s="1">
        <f>COUNTIF(L!AC:AC,Datos!F38)</f>
        <v>0</v>
      </c>
      <c r="J38" s="1">
        <f>SUMIF(L!AC:AC,Datos!F38,L!AD:AD)</f>
        <v>0</v>
      </c>
      <c r="K38" s="1">
        <f>COUNTIFS(L!AC:AC,F38,L!AD:AD,"&gt;0")</f>
        <v>0</v>
      </c>
      <c r="S38">
        <v>10213912</v>
      </c>
      <c r="T38">
        <v>3</v>
      </c>
      <c r="U38" t="str">
        <v>M</v>
      </c>
    </row>
    <row r="39" spans="2:21" x14ac:dyDescent="0.25">
      <c r="B39" s="114" t="s">
        <v>1101</v>
      </c>
      <c r="C39" s="109" t="s">
        <v>1108</v>
      </c>
      <c r="E39" s="113" t="s">
        <v>1055</v>
      </c>
      <c r="F39" s="1" t="str">
        <f t="shared" si="1"/>
        <v>H_6A_[4 a 10]</v>
      </c>
      <c r="G39" s="1"/>
      <c r="H39" s="1">
        <f>SUMIF(L!AC:AC,Datos!F39,L!T:T)</f>
        <v>0</v>
      </c>
      <c r="I39" s="1">
        <f>COUNTIF(L!AC:AC,Datos!F39)</f>
        <v>0</v>
      </c>
      <c r="J39" s="1">
        <f>SUMIF(L!AC:AC,Datos!F39,L!AD:AD)</f>
        <v>0</v>
      </c>
      <c r="K39" s="1">
        <f>COUNTIFS(L!AC:AC,F39,L!AD:AD,"&gt;0")</f>
        <v>0</v>
      </c>
      <c r="S39">
        <v>10219404</v>
      </c>
      <c r="T39">
        <v>2</v>
      </c>
      <c r="U39" t="str">
        <v>M</v>
      </c>
    </row>
    <row r="40" spans="2:21" x14ac:dyDescent="0.25">
      <c r="E40" s="113" t="s">
        <v>1057</v>
      </c>
      <c r="F40" s="1" t="str">
        <f t="shared" si="1"/>
        <v>H_6B_[4 a 10]</v>
      </c>
      <c r="G40" s="1"/>
      <c r="H40" s="1">
        <f>SUMIF(L!AC:AC,Datos!F40,L!T:T)</f>
        <v>0</v>
      </c>
      <c r="I40" s="1">
        <f>COUNTIF(L!AC:AC,Datos!F40)</f>
        <v>0</v>
      </c>
      <c r="J40" s="1">
        <f>SUMIF(L!AC:AC,Datos!F40,L!AD:AD)</f>
        <v>0</v>
      </c>
      <c r="K40" s="1">
        <f>COUNTIFS(L!AC:AC,F40,L!AD:AD,"&gt;0")</f>
        <v>0</v>
      </c>
      <c r="S40">
        <v>10318089</v>
      </c>
      <c r="T40">
        <v>3</v>
      </c>
      <c r="U40" t="str">
        <v>M</v>
      </c>
    </row>
    <row r="41" spans="2:21" x14ac:dyDescent="0.25">
      <c r="E41" s="113" t="s">
        <v>1059</v>
      </c>
      <c r="F41" s="1" t="str">
        <f t="shared" si="1"/>
        <v>H_7_[4 a 10]</v>
      </c>
      <c r="G41" s="1"/>
      <c r="H41" s="1">
        <f>SUMIF(L!AC:AC,Datos!F41,L!T:T)</f>
        <v>0</v>
      </c>
      <c r="I41" s="1">
        <f>COUNTIF(L!AC:AC,Datos!F41)</f>
        <v>0</v>
      </c>
      <c r="J41" s="1">
        <f>SUMIF(L!AC:AC,Datos!F41,L!AD:AD)</f>
        <v>0</v>
      </c>
      <c r="K41" s="1">
        <f>COUNTIFS(L!AC:AC,F41,L!AD:AD,"&gt;0")</f>
        <v>0</v>
      </c>
      <c r="S41">
        <v>10367707</v>
      </c>
      <c r="T41">
        <v>1</v>
      </c>
      <c r="U41" t="str">
        <v>M</v>
      </c>
    </row>
    <row r="42" spans="2:21" x14ac:dyDescent="0.25">
      <c r="E42" s="113" t="s">
        <v>1061</v>
      </c>
      <c r="F42" s="1" t="str">
        <f t="shared" si="1"/>
        <v>H_8_[4 a 10]</v>
      </c>
      <c r="G42" s="1"/>
      <c r="H42" s="1">
        <f>SUMIF(L!AC:AC,Datos!F42,L!T:T)</f>
        <v>0</v>
      </c>
      <c r="I42" s="1">
        <f>COUNTIF(L!AC:AC,Datos!F42)</f>
        <v>0</v>
      </c>
      <c r="J42" s="1">
        <f>SUMIF(L!AC:AC,Datos!F42,L!AD:AD)</f>
        <v>0</v>
      </c>
      <c r="K42" s="1">
        <f>COUNTIFS(L!AC:AC,F42,L!AD:AD,"&gt;0")</f>
        <v>0</v>
      </c>
      <c r="S42">
        <v>10435188</v>
      </c>
      <c r="T42">
        <v>1</v>
      </c>
      <c r="U42" t="str">
        <v>H</v>
      </c>
    </row>
    <row r="43" spans="2:21" x14ac:dyDescent="0.25">
      <c r="E43" s="113" t="s">
        <v>1063</v>
      </c>
      <c r="F43" s="1" t="str">
        <f t="shared" si="1"/>
        <v>H_9_[4 a 10]</v>
      </c>
      <c r="G43" s="1"/>
      <c r="H43" s="1">
        <f>SUMIF(L!AC:AC,Datos!F43,L!T:T)</f>
        <v>0</v>
      </c>
      <c r="I43" s="1">
        <f>COUNTIF(L!AC:AC,Datos!F43)</f>
        <v>0</v>
      </c>
      <c r="J43" s="1">
        <f>SUMIF(L!AC:AC,Datos!F43,L!AD:AD)</f>
        <v>0</v>
      </c>
      <c r="K43" s="1">
        <f>COUNTIFS(L!AC:AC,F43,L!AD:AD,"&gt;0")</f>
        <v>0</v>
      </c>
      <c r="S43">
        <v>10440137</v>
      </c>
      <c r="T43">
        <v>1</v>
      </c>
      <c r="U43" t="str">
        <v>M</v>
      </c>
    </row>
    <row r="44" spans="2:21" x14ac:dyDescent="0.25">
      <c r="E44" s="113" t="s">
        <v>1065</v>
      </c>
      <c r="F44" s="1" t="str">
        <f t="shared" si="1"/>
        <v>H_10_[4 a 10]</v>
      </c>
      <c r="G44" s="1"/>
      <c r="H44" s="1">
        <f>SUMIF(L!AC:AC,Datos!F44,L!T:T)</f>
        <v>0</v>
      </c>
      <c r="I44" s="1">
        <f>COUNTIF(L!AC:AC,Datos!F44)</f>
        <v>0</v>
      </c>
      <c r="J44" s="1">
        <f>SUMIF(L!AC:AC,Datos!F44,L!AD:AD)</f>
        <v>0</v>
      </c>
      <c r="K44" s="1">
        <f>COUNTIFS(L!AC:AC,F44,L!AD:AD,"&gt;0")</f>
        <v>0</v>
      </c>
      <c r="S44">
        <v>10464332</v>
      </c>
      <c r="T44">
        <v>3</v>
      </c>
      <c r="U44" t="str">
        <v>H</v>
      </c>
    </row>
    <row r="45" spans="2:21" x14ac:dyDescent="0.25">
      <c r="E45" s="113" t="s">
        <v>1067</v>
      </c>
      <c r="F45" s="1" t="str">
        <f t="shared" si="1"/>
        <v>H_11_[4 a 10]</v>
      </c>
      <c r="G45" s="1"/>
      <c r="H45" s="1">
        <f>SUMIF(L!AC:AC,Datos!F45,L!T:T)</f>
        <v>0</v>
      </c>
      <c r="I45" s="1">
        <f>COUNTIF(L!AC:AC,Datos!F45)</f>
        <v>0</v>
      </c>
      <c r="J45" s="1">
        <f>SUMIF(L!AC:AC,Datos!F45,L!AD:AD)</f>
        <v>0</v>
      </c>
      <c r="K45" s="1">
        <f>COUNTIFS(L!AC:AC,F45,L!AD:AD,"&gt;0")</f>
        <v>0</v>
      </c>
      <c r="S45">
        <v>10523367</v>
      </c>
      <c r="T45">
        <v>1</v>
      </c>
      <c r="U45" t="str">
        <v>H</v>
      </c>
    </row>
    <row r="46" spans="2:21" x14ac:dyDescent="0.25">
      <c r="B46" s="1" t="s">
        <v>1109</v>
      </c>
      <c r="E46" s="113" t="s">
        <v>1069</v>
      </c>
      <c r="F46" s="1" t="str">
        <f t="shared" si="1"/>
        <v>H_12_[4 a 10]</v>
      </c>
      <c r="G46" s="1"/>
      <c r="H46" s="1">
        <f>SUMIF(L!AC:AC,Datos!F46,L!T:T)</f>
        <v>0</v>
      </c>
      <c r="I46" s="1">
        <f>COUNTIF(L!AC:AC,Datos!F46)</f>
        <v>0</v>
      </c>
      <c r="J46" s="1">
        <f>SUMIF(L!AC:AC,Datos!F46,L!AD:AD)</f>
        <v>0</v>
      </c>
      <c r="K46" s="1">
        <f>COUNTIFS(L!AC:AC,F46,L!AD:AD,"&gt;0")</f>
        <v>0</v>
      </c>
      <c r="S46">
        <v>10629824</v>
      </c>
      <c r="T46">
        <v>3</v>
      </c>
      <c r="U46" t="str">
        <v>M</v>
      </c>
    </row>
    <row r="47" spans="2:21" x14ac:dyDescent="0.25">
      <c r="E47" s="113" t="s">
        <v>1071</v>
      </c>
      <c r="F47" s="1" t="str">
        <f t="shared" si="1"/>
        <v>H_13_[4 a 10]</v>
      </c>
      <c r="G47" s="1"/>
      <c r="H47" s="1">
        <f>SUMIF(L!AC:AC,Datos!F47,L!T:T)</f>
        <v>0</v>
      </c>
      <c r="I47" s="1">
        <f>COUNTIF(L!AC:AC,Datos!F47)</f>
        <v>0</v>
      </c>
      <c r="J47" s="1">
        <f>SUMIF(L!AC:AC,Datos!F47,L!AD:AD)</f>
        <v>0</v>
      </c>
      <c r="K47" s="1">
        <f>COUNTIFS(L!AC:AC,F47,L!AD:AD,"&gt;0")</f>
        <v>0</v>
      </c>
      <c r="S47">
        <v>10631849</v>
      </c>
      <c r="T47">
        <v>1</v>
      </c>
      <c r="U47" t="str">
        <v>H</v>
      </c>
    </row>
    <row r="48" spans="2:21" x14ac:dyDescent="0.25">
      <c r="E48" s="114" t="s">
        <v>1073</v>
      </c>
      <c r="F48" s="1" t="str">
        <f t="shared" si="1"/>
        <v>M_1_[4 a 10]</v>
      </c>
      <c r="G48" s="1"/>
      <c r="H48" s="1">
        <f>SUMIF(L!AC:AC,Datos!F48,L!T:T)</f>
        <v>188</v>
      </c>
      <c r="I48" s="1">
        <f>COUNTIF(L!AC:AC,Datos!F48)</f>
        <v>34</v>
      </c>
      <c r="J48" s="1">
        <f>SUMIF(L!AC:AC,Datos!F48,L!AD:AD)</f>
        <v>17859576</v>
      </c>
      <c r="K48" s="1">
        <f>COUNTIFS(L!AC:AC,F48,L!AD:AD,"&gt;0")</f>
        <v>34</v>
      </c>
      <c r="S48">
        <v>10706174</v>
      </c>
      <c r="T48">
        <v>2</v>
      </c>
      <c r="U48" t="str">
        <v>H</v>
      </c>
    </row>
    <row r="49" spans="5:21" x14ac:dyDescent="0.25">
      <c r="E49" s="114" t="s">
        <v>1075</v>
      </c>
      <c r="F49" s="1" t="str">
        <f t="shared" si="1"/>
        <v>M_2_[4 a 10]</v>
      </c>
      <c r="G49" s="1"/>
      <c r="H49" s="1">
        <f>SUMIF(L!AC:AC,Datos!F49,L!T:T)</f>
        <v>0</v>
      </c>
      <c r="I49" s="1">
        <f>COUNTIF(L!AC:AC,Datos!F49)</f>
        <v>0</v>
      </c>
      <c r="J49" s="1">
        <f>SUMIF(L!AC:AC,Datos!F49,L!AD:AD)</f>
        <v>0</v>
      </c>
      <c r="K49" s="1">
        <f>COUNTIFS(L!AC:AC,F49,L!AD:AD,"&gt;0")</f>
        <v>0</v>
      </c>
      <c r="S49">
        <v>10706368</v>
      </c>
      <c r="T49">
        <v>1</v>
      </c>
      <c r="U49" t="str">
        <v>H</v>
      </c>
    </row>
    <row r="50" spans="5:21" x14ac:dyDescent="0.25">
      <c r="E50" s="114" t="s">
        <v>1077</v>
      </c>
      <c r="F50" s="1" t="str">
        <f t="shared" si="1"/>
        <v>M_3_[4 a 10]</v>
      </c>
      <c r="G50" s="1"/>
      <c r="H50" s="1">
        <f>SUMIF(L!AC:AC,Datos!F50,L!T:T)</f>
        <v>0</v>
      </c>
      <c r="I50" s="1">
        <f>COUNTIF(L!AC:AC,Datos!F50)</f>
        <v>0</v>
      </c>
      <c r="J50" s="1">
        <f>SUMIF(L!AC:AC,Datos!F50,L!AD:AD)</f>
        <v>0</v>
      </c>
      <c r="K50" s="1">
        <f>COUNTIFS(L!AC:AC,F50,L!AD:AD,"&gt;0")</f>
        <v>0</v>
      </c>
      <c r="S50">
        <v>10721671</v>
      </c>
      <c r="T50">
        <v>2</v>
      </c>
      <c r="U50" t="str">
        <v>M</v>
      </c>
    </row>
    <row r="51" spans="5:21" x14ac:dyDescent="0.25">
      <c r="E51" s="114" t="s">
        <v>1079</v>
      </c>
      <c r="F51" s="1" t="str">
        <f t="shared" si="1"/>
        <v>M_4_[4 a 10]</v>
      </c>
      <c r="G51" s="1"/>
      <c r="H51" s="1">
        <f>SUMIF(L!AC:AC,Datos!F51,L!T:T)</f>
        <v>35</v>
      </c>
      <c r="I51" s="1">
        <f>COUNTIF(L!AC:AC,Datos!F51)</f>
        <v>5</v>
      </c>
      <c r="J51" s="1">
        <f>SUMIF(L!AC:AC,Datos!F51,L!AD:AD)</f>
        <v>15160</v>
      </c>
      <c r="K51" s="1">
        <f>COUNTIFS(L!AC:AC,F51,L!AD:AD,"&gt;0")</f>
        <v>5</v>
      </c>
      <c r="S51">
        <v>10865056</v>
      </c>
      <c r="T51">
        <v>1</v>
      </c>
      <c r="U51" t="str">
        <v>H</v>
      </c>
    </row>
    <row r="52" spans="5:21" x14ac:dyDescent="0.25">
      <c r="E52" s="114" t="s">
        <v>1081</v>
      </c>
      <c r="F52" s="1" t="str">
        <f t="shared" si="1"/>
        <v>M_5A_[4 a 10]</v>
      </c>
      <c r="G52" s="1"/>
      <c r="H52" s="1">
        <f>SUMIF(L!AC:AC,Datos!F52,L!T:T)</f>
        <v>0</v>
      </c>
      <c r="I52" s="1">
        <f>COUNTIF(L!AC:AC,Datos!F52)</f>
        <v>0</v>
      </c>
      <c r="J52" s="1">
        <f>SUMIF(L!AC:AC,Datos!F52,L!AD:AD)</f>
        <v>0</v>
      </c>
      <c r="K52" s="1">
        <f>COUNTIFS(L!AC:AC,F52,L!AD:AD,"&gt;0")</f>
        <v>0</v>
      </c>
      <c r="S52">
        <v>10911246</v>
      </c>
      <c r="T52">
        <v>1</v>
      </c>
      <c r="U52" t="str">
        <v>M</v>
      </c>
    </row>
    <row r="53" spans="5:21" x14ac:dyDescent="0.25">
      <c r="E53" s="114" t="s">
        <v>1083</v>
      </c>
      <c r="F53" s="1" t="str">
        <f t="shared" si="1"/>
        <v>M_5B_[4 a 10]</v>
      </c>
      <c r="G53" s="1"/>
      <c r="H53" s="1">
        <f>SUMIF(L!AC:AC,Datos!F53,L!T:T)</f>
        <v>0</v>
      </c>
      <c r="I53" s="1">
        <f>COUNTIF(L!AC:AC,Datos!F53)</f>
        <v>0</v>
      </c>
      <c r="J53" s="1">
        <f>SUMIF(L!AC:AC,Datos!F53,L!AD:AD)</f>
        <v>0</v>
      </c>
      <c r="K53" s="1">
        <f>COUNTIFS(L!AC:AC,F53,L!AD:AD,"&gt;0")</f>
        <v>0</v>
      </c>
      <c r="S53">
        <v>10912720</v>
      </c>
      <c r="T53">
        <v>2</v>
      </c>
      <c r="U53" t="str">
        <v>M</v>
      </c>
    </row>
    <row r="54" spans="5:21" x14ac:dyDescent="0.25">
      <c r="E54" s="114" t="s">
        <v>1085</v>
      </c>
      <c r="F54" s="1" t="str">
        <f t="shared" si="1"/>
        <v>M_6A_[4 a 10]</v>
      </c>
      <c r="G54" s="1"/>
      <c r="H54" s="1">
        <f>SUMIF(L!AC:AC,Datos!F54,L!T:T)</f>
        <v>0</v>
      </c>
      <c r="I54" s="1">
        <f>COUNTIF(L!AC:AC,Datos!F54)</f>
        <v>0</v>
      </c>
      <c r="J54" s="1">
        <f>SUMIF(L!AC:AC,Datos!F54,L!AD:AD)</f>
        <v>0</v>
      </c>
      <c r="K54" s="1">
        <f>COUNTIFS(L!AC:AC,F54,L!AD:AD,"&gt;0")</f>
        <v>0</v>
      </c>
      <c r="S54">
        <v>11375161</v>
      </c>
      <c r="T54">
        <v>2</v>
      </c>
      <c r="U54" t="str">
        <v>H</v>
      </c>
    </row>
    <row r="55" spans="5:21" x14ac:dyDescent="0.25">
      <c r="E55" s="114" t="s">
        <v>1087</v>
      </c>
      <c r="F55" s="1" t="str">
        <f t="shared" si="1"/>
        <v>M_6B_[4 a 10]</v>
      </c>
      <c r="G55" s="1"/>
      <c r="H55" s="1">
        <f>SUMIF(L!AC:AC,Datos!F55,L!T:T)</f>
        <v>0</v>
      </c>
      <c r="I55" s="1">
        <f>COUNTIF(L!AC:AC,Datos!F55)</f>
        <v>0</v>
      </c>
      <c r="J55" s="1">
        <f>SUMIF(L!AC:AC,Datos!F55,L!AD:AD)</f>
        <v>0</v>
      </c>
      <c r="K55" s="1">
        <f>COUNTIFS(L!AC:AC,F55,L!AD:AD,"&gt;0")</f>
        <v>0</v>
      </c>
      <c r="S55">
        <v>11558608</v>
      </c>
      <c r="T55">
        <v>1</v>
      </c>
      <c r="U55" t="str">
        <v>M</v>
      </c>
    </row>
    <row r="56" spans="5:21" x14ac:dyDescent="0.25">
      <c r="E56" s="114" t="s">
        <v>1089</v>
      </c>
      <c r="F56" s="1" t="str">
        <f t="shared" si="1"/>
        <v>M_7_[4 a 10]</v>
      </c>
      <c r="G56" s="1"/>
      <c r="H56" s="1">
        <f>SUMIF(L!AC:AC,Datos!F56,L!T:T)</f>
        <v>6</v>
      </c>
      <c r="I56" s="1">
        <f>COUNTIF(L!AC:AC,Datos!F56)</f>
        <v>1</v>
      </c>
      <c r="J56" s="1">
        <f>SUMIF(L!AC:AC,Datos!F56,L!AD:AD)</f>
        <v>641328</v>
      </c>
      <c r="K56" s="1">
        <f>COUNTIFS(L!AC:AC,F56,L!AD:AD,"&gt;0")</f>
        <v>1</v>
      </c>
      <c r="S56">
        <v>11582989</v>
      </c>
      <c r="T56">
        <v>1</v>
      </c>
      <c r="U56" t="str">
        <v>M</v>
      </c>
    </row>
    <row r="57" spans="5:21" x14ac:dyDescent="0.25">
      <c r="E57" s="114" t="s">
        <v>1091</v>
      </c>
      <c r="F57" s="1" t="str">
        <f t="shared" si="1"/>
        <v>M_8_[4 a 10]</v>
      </c>
      <c r="G57" s="1"/>
      <c r="H57" s="1">
        <f>SUMIF(L!AC:AC,Datos!F57,L!T:T)</f>
        <v>0</v>
      </c>
      <c r="I57" s="1">
        <f>COUNTIF(L!AC:AC,Datos!F57)</f>
        <v>0</v>
      </c>
      <c r="J57" s="1">
        <f>SUMIF(L!AC:AC,Datos!F57,L!AD:AD)</f>
        <v>0</v>
      </c>
      <c r="K57" s="1">
        <f>COUNTIFS(L!AC:AC,F57,L!AD:AD,"&gt;0")</f>
        <v>0</v>
      </c>
      <c r="S57">
        <v>11751283</v>
      </c>
      <c r="T57">
        <v>2</v>
      </c>
      <c r="U57" t="str">
        <v>M</v>
      </c>
    </row>
    <row r="58" spans="5:21" x14ac:dyDescent="0.25">
      <c r="E58" s="114" t="s">
        <v>1093</v>
      </c>
      <c r="F58" s="1" t="str">
        <f t="shared" si="1"/>
        <v>M_9_[4 a 10]</v>
      </c>
      <c r="G58" s="1"/>
      <c r="H58" s="1">
        <f>SUMIF(L!AC:AC,Datos!F58,L!T:T)</f>
        <v>0</v>
      </c>
      <c r="I58" s="1">
        <f>COUNTIF(L!AC:AC,Datos!F58)</f>
        <v>0</v>
      </c>
      <c r="J58" s="1">
        <f>SUMIF(L!AC:AC,Datos!F58,L!AD:AD)</f>
        <v>0</v>
      </c>
      <c r="K58" s="1">
        <f>COUNTIFS(L!AC:AC,F58,L!AD:AD,"&gt;0")</f>
        <v>0</v>
      </c>
      <c r="S58">
        <v>11831422</v>
      </c>
      <c r="T58">
        <v>1</v>
      </c>
      <c r="U58" t="str">
        <v>M</v>
      </c>
    </row>
    <row r="59" spans="5:21" x14ac:dyDescent="0.25">
      <c r="E59" s="114" t="s">
        <v>1095</v>
      </c>
      <c r="F59" s="1" t="str">
        <f t="shared" si="1"/>
        <v>M_10_[4 a 10]</v>
      </c>
      <c r="G59" s="1"/>
      <c r="H59" s="1">
        <f>SUMIF(L!AC:AC,Datos!F59,L!T:T)</f>
        <v>0</v>
      </c>
      <c r="I59" s="1">
        <f>COUNTIF(L!AC:AC,Datos!F59)</f>
        <v>0</v>
      </c>
      <c r="J59" s="1">
        <f>SUMIF(L!AC:AC,Datos!F59,L!AD:AD)</f>
        <v>0</v>
      </c>
      <c r="K59" s="1">
        <f>COUNTIFS(L!AC:AC,F59,L!AD:AD,"&gt;0")</f>
        <v>0</v>
      </c>
      <c r="S59">
        <v>11846118</v>
      </c>
      <c r="T59">
        <v>1</v>
      </c>
      <c r="U59" t="str">
        <v>M</v>
      </c>
    </row>
    <row r="60" spans="5:21" x14ac:dyDescent="0.25">
      <c r="E60" s="114" t="s">
        <v>1097</v>
      </c>
      <c r="F60" s="1" t="str">
        <f t="shared" si="1"/>
        <v>M_11_[4 a 10]</v>
      </c>
      <c r="G60" s="1"/>
      <c r="H60" s="1">
        <f>SUMIF(L!AC:AC,Datos!F60,L!T:T)</f>
        <v>0</v>
      </c>
      <c r="I60" s="1">
        <f>COUNTIF(L!AC:AC,Datos!F60)</f>
        <v>0</v>
      </c>
      <c r="J60" s="1">
        <f>SUMIF(L!AC:AC,Datos!F60,L!AD:AD)</f>
        <v>0</v>
      </c>
      <c r="K60" s="1">
        <f>COUNTIFS(L!AC:AC,F60,L!AD:AD,"&gt;0")</f>
        <v>0</v>
      </c>
      <c r="S60">
        <v>11861752</v>
      </c>
      <c r="T60">
        <v>1</v>
      </c>
      <c r="U60" t="str">
        <v>M</v>
      </c>
    </row>
    <row r="61" spans="5:21" x14ac:dyDescent="0.25">
      <c r="E61" s="114" t="s">
        <v>1099</v>
      </c>
      <c r="F61" s="1" t="str">
        <f t="shared" si="1"/>
        <v>M_12_[4 a 10]</v>
      </c>
      <c r="G61" s="1"/>
      <c r="H61" s="1">
        <f>SUMIF(L!AC:AC,Datos!F61,L!T:T)</f>
        <v>0</v>
      </c>
      <c r="I61" s="1">
        <f>COUNTIF(L!AC:AC,Datos!F61)</f>
        <v>0</v>
      </c>
      <c r="J61" s="1">
        <f>SUMIF(L!AC:AC,Datos!F61,L!AD:AD)</f>
        <v>0</v>
      </c>
      <c r="K61" s="1">
        <f>COUNTIFS(L!AC:AC,F61,L!AD:AD,"&gt;0")</f>
        <v>0</v>
      </c>
      <c r="S61">
        <v>11897179</v>
      </c>
      <c r="T61">
        <v>4</v>
      </c>
      <c r="U61" t="str">
        <v>M</v>
      </c>
    </row>
    <row r="62" spans="5:21" x14ac:dyDescent="0.25">
      <c r="E62" s="114" t="s">
        <v>1101</v>
      </c>
      <c r="F62" s="1" t="str">
        <f t="shared" si="1"/>
        <v>M_13_[4 a 10]</v>
      </c>
      <c r="G62" s="1"/>
      <c r="H62" s="1">
        <f>SUMIF(L!AC:AC,Datos!F62,L!T:T)</f>
        <v>0</v>
      </c>
      <c r="I62" s="1">
        <f>COUNTIF(L!AC:AC,Datos!F62)</f>
        <v>0</v>
      </c>
      <c r="J62" s="1">
        <f>SUMIF(L!AC:AC,Datos!F62,L!AD:AD)</f>
        <v>0</v>
      </c>
      <c r="K62" s="1">
        <f>COUNTIFS(L!AC:AC,F62,L!AD:AD,"&gt;0")</f>
        <v>0</v>
      </c>
      <c r="S62">
        <v>12021775</v>
      </c>
      <c r="T62">
        <v>1</v>
      </c>
      <c r="U62" t="str">
        <v>M</v>
      </c>
    </row>
    <row r="63" spans="5:21" x14ac:dyDescent="0.25">
      <c r="E63" s="113" t="s">
        <v>1045</v>
      </c>
      <c r="F63" s="1" t="str">
        <f>CONCATENATE(E63,"_",$C$5)</f>
        <v>H_1_[11 +]</v>
      </c>
      <c r="G63" s="1"/>
      <c r="H63" s="1">
        <f>SUMIF(L!AC:AC,Datos!F63,L!T:T)</f>
        <v>883</v>
      </c>
      <c r="I63" s="1">
        <f>COUNTIF(L!AC:AC,Datos!F63)</f>
        <v>40</v>
      </c>
      <c r="J63" s="1">
        <f>SUMIF(L!AC:AC,Datos!F63,L!AD:AD)</f>
        <v>102564404</v>
      </c>
      <c r="K63" s="1">
        <f>COUNTIFS(L!AC:AC,F63,L!AD:AD,"&gt;0")</f>
        <v>40</v>
      </c>
      <c r="S63">
        <v>12025018</v>
      </c>
      <c r="T63">
        <v>2</v>
      </c>
      <c r="U63" t="str">
        <v>M</v>
      </c>
    </row>
    <row r="64" spans="5:21" x14ac:dyDescent="0.25">
      <c r="E64" s="113" t="s">
        <v>1048</v>
      </c>
      <c r="F64" s="1" t="str">
        <f t="shared" ref="F64:F92" si="2">CONCATENATE(E64,"_",$C$5)</f>
        <v>H_2_[11 +]</v>
      </c>
      <c r="G64" s="1"/>
      <c r="H64" s="1">
        <f>SUMIF(L!AC:AC,Datos!F64,L!T:T)</f>
        <v>0</v>
      </c>
      <c r="I64" s="1">
        <f>COUNTIF(L!AC:AC,Datos!F64)</f>
        <v>0</v>
      </c>
      <c r="J64" s="1">
        <f>SUMIF(L!AC:AC,Datos!F64,L!AD:AD)</f>
        <v>0</v>
      </c>
      <c r="K64" s="1">
        <f>COUNTIFS(L!AC:AC,F64,L!AD:AD,"&gt;0")</f>
        <v>0</v>
      </c>
      <c r="S64">
        <v>12105921</v>
      </c>
      <c r="T64">
        <v>1</v>
      </c>
      <c r="U64" t="str">
        <v>M</v>
      </c>
    </row>
    <row r="65" spans="5:21" x14ac:dyDescent="0.25">
      <c r="E65" s="113" t="s">
        <v>1050</v>
      </c>
      <c r="F65" s="1" t="str">
        <f t="shared" si="2"/>
        <v>H_3_[11 +]</v>
      </c>
      <c r="G65" s="1"/>
      <c r="H65" s="1">
        <f>SUMIF(L!AC:AC,Datos!F65,L!T:T)</f>
        <v>0</v>
      </c>
      <c r="I65" s="1">
        <f>COUNTIF(L!AC:AC,Datos!F65)</f>
        <v>0</v>
      </c>
      <c r="J65" s="1">
        <f>SUMIF(L!AC:AC,Datos!F65,L!AD:AD)</f>
        <v>0</v>
      </c>
      <c r="K65" s="1">
        <f>COUNTIFS(L!AC:AC,F65,L!AD:AD,"&gt;0")</f>
        <v>0</v>
      </c>
      <c r="S65">
        <v>12184581</v>
      </c>
      <c r="T65">
        <v>2</v>
      </c>
      <c r="U65" t="str">
        <v>M</v>
      </c>
    </row>
    <row r="66" spans="5:21" x14ac:dyDescent="0.25">
      <c r="E66" s="113" t="s">
        <v>1051</v>
      </c>
      <c r="F66" s="1" t="str">
        <f t="shared" si="2"/>
        <v>H_4_[11 +]</v>
      </c>
      <c r="G66" s="1"/>
      <c r="H66" s="1">
        <f>SUMIF(L!AC:AC,Datos!F66,L!T:T)</f>
        <v>0</v>
      </c>
      <c r="I66" s="1">
        <f>COUNTIF(L!AC:AC,Datos!F66)</f>
        <v>0</v>
      </c>
      <c r="J66" s="1">
        <f>SUMIF(L!AC:AC,Datos!F66,L!AD:AD)</f>
        <v>0</v>
      </c>
      <c r="K66" s="1">
        <f>COUNTIFS(L!AC:AC,F66,L!AD:AD,"&gt;0")</f>
        <v>0</v>
      </c>
      <c r="S66">
        <v>12210246</v>
      </c>
      <c r="T66">
        <v>1</v>
      </c>
      <c r="U66" t="str">
        <v>M</v>
      </c>
    </row>
    <row r="67" spans="5:21" x14ac:dyDescent="0.25">
      <c r="E67" s="113" t="s">
        <v>1052</v>
      </c>
      <c r="F67" s="1" t="str">
        <f t="shared" si="2"/>
        <v>H_5A_[11 +]</v>
      </c>
      <c r="G67" s="1"/>
      <c r="H67" s="1">
        <f>SUMIF(L!AC:AC,Datos!F67,L!T:T)</f>
        <v>0</v>
      </c>
      <c r="I67" s="1">
        <f>COUNTIF(L!AC:AC,Datos!F67)</f>
        <v>0</v>
      </c>
      <c r="J67" s="1">
        <f>SUMIF(L!AC:AC,Datos!F67,L!AD:AD)</f>
        <v>0</v>
      </c>
      <c r="K67" s="1">
        <f>COUNTIFS(L!AC:AC,F67,L!AD:AD,"&gt;0")</f>
        <v>0</v>
      </c>
      <c r="S67">
        <v>12293936</v>
      </c>
      <c r="T67">
        <v>2</v>
      </c>
      <c r="U67" t="str">
        <v>M</v>
      </c>
    </row>
    <row r="68" spans="5:21" x14ac:dyDescent="0.25">
      <c r="E68" s="113" t="s">
        <v>1053</v>
      </c>
      <c r="F68" s="1" t="str">
        <f t="shared" si="2"/>
        <v>H_5B_[11 +]</v>
      </c>
      <c r="G68" s="1"/>
      <c r="H68" s="1">
        <f>SUMIF(L!AC:AC,Datos!F68,L!T:T)</f>
        <v>0</v>
      </c>
      <c r="I68" s="1">
        <f>COUNTIF(L!AC:AC,Datos!F68)</f>
        <v>0</v>
      </c>
      <c r="J68" s="1">
        <f>SUMIF(L!AC:AC,Datos!F68,L!AD:AD)</f>
        <v>0</v>
      </c>
      <c r="K68" s="1">
        <f>COUNTIFS(L!AC:AC,F68,L!AD:AD,"&gt;0")</f>
        <v>0</v>
      </c>
      <c r="S68">
        <v>12396821</v>
      </c>
      <c r="T68">
        <v>1</v>
      </c>
      <c r="U68" t="str">
        <v>H</v>
      </c>
    </row>
    <row r="69" spans="5:21" x14ac:dyDescent="0.25">
      <c r="E69" s="113" t="s">
        <v>1055</v>
      </c>
      <c r="F69" s="1" t="str">
        <f t="shared" si="2"/>
        <v>H_6A_[11 +]</v>
      </c>
      <c r="G69" s="1"/>
      <c r="H69" s="1">
        <f>SUMIF(L!AC:AC,Datos!F69,L!T:T)</f>
        <v>0</v>
      </c>
      <c r="I69" s="1">
        <f>COUNTIF(L!AC:AC,Datos!F69)</f>
        <v>0</v>
      </c>
      <c r="J69" s="1">
        <f>SUMIF(L!AC:AC,Datos!F69,L!AD:AD)</f>
        <v>0</v>
      </c>
      <c r="K69" s="1">
        <f>COUNTIFS(L!AC:AC,F69,L!AD:AD,"&gt;0")</f>
        <v>0</v>
      </c>
      <c r="S69">
        <v>12421131</v>
      </c>
      <c r="T69">
        <v>1</v>
      </c>
      <c r="U69" t="str">
        <v>M</v>
      </c>
    </row>
    <row r="70" spans="5:21" x14ac:dyDescent="0.25">
      <c r="E70" s="113" t="s">
        <v>1057</v>
      </c>
      <c r="F70" s="1" t="str">
        <f t="shared" si="2"/>
        <v>H_6B_[11 +]</v>
      </c>
      <c r="G70" s="1"/>
      <c r="H70" s="1">
        <f>SUMIF(L!AC:AC,Datos!F70,L!T:T)</f>
        <v>0</v>
      </c>
      <c r="I70" s="1">
        <f>COUNTIF(L!AC:AC,Datos!F70)</f>
        <v>0</v>
      </c>
      <c r="J70" s="1">
        <f>SUMIF(L!AC:AC,Datos!F70,L!AD:AD)</f>
        <v>0</v>
      </c>
      <c r="K70" s="1">
        <f>COUNTIFS(L!AC:AC,F70,L!AD:AD,"&gt;0")</f>
        <v>0</v>
      </c>
      <c r="S70">
        <v>12431825</v>
      </c>
      <c r="T70">
        <v>1</v>
      </c>
      <c r="U70" t="str">
        <v>M</v>
      </c>
    </row>
    <row r="71" spans="5:21" x14ac:dyDescent="0.25">
      <c r="E71" s="113" t="s">
        <v>1059</v>
      </c>
      <c r="F71" s="1" t="str">
        <f t="shared" si="2"/>
        <v>H_7_[11 +]</v>
      </c>
      <c r="G71" s="1"/>
      <c r="H71" s="1">
        <f>SUMIF(L!AC:AC,Datos!F71,L!T:T)</f>
        <v>0</v>
      </c>
      <c r="I71" s="1">
        <f>COUNTIF(L!AC:AC,Datos!F71)</f>
        <v>0</v>
      </c>
      <c r="J71" s="1">
        <f>SUMIF(L!AC:AC,Datos!F71,L!AD:AD)</f>
        <v>0</v>
      </c>
      <c r="K71" s="1">
        <f>COUNTIFS(L!AC:AC,F71,L!AD:AD,"&gt;0")</f>
        <v>0</v>
      </c>
      <c r="S71">
        <v>12445110</v>
      </c>
      <c r="T71">
        <v>1</v>
      </c>
      <c r="U71" t="str">
        <v>H</v>
      </c>
    </row>
    <row r="72" spans="5:21" x14ac:dyDescent="0.25">
      <c r="E72" s="113" t="s">
        <v>1061</v>
      </c>
      <c r="F72" s="1" t="str">
        <f t="shared" si="2"/>
        <v>H_8_[11 +]</v>
      </c>
      <c r="G72" s="1"/>
      <c r="H72" s="1">
        <f>SUMIF(L!AC:AC,Datos!F72,L!T:T)</f>
        <v>0</v>
      </c>
      <c r="I72" s="1">
        <f>COUNTIF(L!AC:AC,Datos!F72)</f>
        <v>0</v>
      </c>
      <c r="J72" s="1">
        <f>SUMIF(L!AC:AC,Datos!F72,L!AD:AD)</f>
        <v>0</v>
      </c>
      <c r="K72" s="1">
        <f>COUNTIFS(L!AC:AC,F72,L!AD:AD,"&gt;0")</f>
        <v>0</v>
      </c>
      <c r="S72">
        <v>12471311</v>
      </c>
      <c r="T72">
        <v>1</v>
      </c>
      <c r="U72" t="str">
        <v>M</v>
      </c>
    </row>
    <row r="73" spans="5:21" x14ac:dyDescent="0.25">
      <c r="E73" s="113" t="s">
        <v>1063</v>
      </c>
      <c r="F73" s="1" t="str">
        <f t="shared" si="2"/>
        <v>H_9_[11 +]</v>
      </c>
      <c r="G73" s="1"/>
      <c r="H73" s="1">
        <f>SUMIF(L!AC:AC,Datos!F73,L!T:T)</f>
        <v>0</v>
      </c>
      <c r="I73" s="1">
        <f>COUNTIF(L!AC:AC,Datos!F73)</f>
        <v>0</v>
      </c>
      <c r="J73" s="1">
        <f>SUMIF(L!AC:AC,Datos!F73,L!AD:AD)</f>
        <v>0</v>
      </c>
      <c r="K73" s="1">
        <f>COUNTIFS(L!AC:AC,F73,L!AD:AD,"&gt;0")</f>
        <v>0</v>
      </c>
      <c r="S73">
        <v>12531557</v>
      </c>
      <c r="T73">
        <v>1</v>
      </c>
      <c r="U73" t="str">
        <v>M</v>
      </c>
    </row>
    <row r="74" spans="5:21" x14ac:dyDescent="0.25">
      <c r="E74" s="113" t="s">
        <v>1065</v>
      </c>
      <c r="F74" s="1" t="str">
        <f t="shared" si="2"/>
        <v>H_10_[11 +]</v>
      </c>
      <c r="G74" s="1"/>
      <c r="H74" s="1">
        <f>SUMIF(L!AC:AC,Datos!F74,L!T:T)</f>
        <v>0</v>
      </c>
      <c r="I74" s="1">
        <f>COUNTIF(L!AC:AC,Datos!F74)</f>
        <v>0</v>
      </c>
      <c r="J74" s="1">
        <f>SUMIF(L!AC:AC,Datos!F74,L!AD:AD)</f>
        <v>0</v>
      </c>
      <c r="K74" s="1">
        <f>COUNTIFS(L!AC:AC,F74,L!AD:AD,"&gt;0")</f>
        <v>0</v>
      </c>
      <c r="S74">
        <v>12586334</v>
      </c>
      <c r="T74">
        <v>1</v>
      </c>
      <c r="U74" t="str">
        <v>H</v>
      </c>
    </row>
    <row r="75" spans="5:21" x14ac:dyDescent="0.25">
      <c r="E75" s="113" t="s">
        <v>1067</v>
      </c>
      <c r="F75" s="1" t="str">
        <f t="shared" si="2"/>
        <v>H_11_[11 +]</v>
      </c>
      <c r="G75" s="1"/>
      <c r="H75" s="1">
        <f>SUMIF(L!AC:AC,Datos!F75,L!T:T)</f>
        <v>0</v>
      </c>
      <c r="I75" s="1">
        <f>COUNTIF(L!AC:AC,Datos!F75)</f>
        <v>0</v>
      </c>
      <c r="J75" s="1">
        <f>SUMIF(L!AC:AC,Datos!F75,L!AD:AD)</f>
        <v>0</v>
      </c>
      <c r="K75" s="1">
        <f>COUNTIFS(L!AC:AC,F75,L!AD:AD,"&gt;0")</f>
        <v>0</v>
      </c>
      <c r="S75">
        <v>12607437</v>
      </c>
      <c r="T75">
        <v>1</v>
      </c>
      <c r="U75" t="str">
        <v>M</v>
      </c>
    </row>
    <row r="76" spans="5:21" x14ac:dyDescent="0.25">
      <c r="E76" s="113" t="s">
        <v>1069</v>
      </c>
      <c r="F76" s="1" t="str">
        <f t="shared" si="2"/>
        <v>H_12_[11 +]</v>
      </c>
      <c r="G76" s="1"/>
      <c r="H76" s="1">
        <f>SUMIF(L!AC:AC,Datos!F76,L!T:T)</f>
        <v>0</v>
      </c>
      <c r="I76" s="1">
        <f>COUNTIF(L!AC:AC,Datos!F76)</f>
        <v>0</v>
      </c>
      <c r="J76" s="1">
        <f>SUMIF(L!AC:AC,Datos!F76,L!AD:AD)</f>
        <v>0</v>
      </c>
      <c r="K76" s="1">
        <f>COUNTIFS(L!AC:AC,F76,L!AD:AD,"&gt;0")</f>
        <v>0</v>
      </c>
      <c r="S76">
        <v>12612923</v>
      </c>
      <c r="T76">
        <v>1</v>
      </c>
      <c r="U76" t="str">
        <v>M</v>
      </c>
    </row>
    <row r="77" spans="5:21" x14ac:dyDescent="0.25">
      <c r="E77" s="113" t="s">
        <v>1071</v>
      </c>
      <c r="F77" s="1" t="str">
        <f t="shared" si="2"/>
        <v>H_13_[11 +]</v>
      </c>
      <c r="G77" s="1"/>
      <c r="H77" s="1">
        <f>SUMIF(L!AC:AC,Datos!F77,L!T:T)</f>
        <v>0</v>
      </c>
      <c r="I77" s="1">
        <f>COUNTIF(L!AC:AC,Datos!F77)</f>
        <v>0</v>
      </c>
      <c r="J77" s="1">
        <f>SUMIF(L!AC:AC,Datos!F77,L!AD:AD)</f>
        <v>0</v>
      </c>
      <c r="K77" s="1">
        <f>COUNTIFS(L!AC:AC,F77,L!AD:AD,"&gt;0")</f>
        <v>0</v>
      </c>
      <c r="S77">
        <v>12630178</v>
      </c>
      <c r="T77">
        <v>3</v>
      </c>
      <c r="U77" t="str">
        <v>M</v>
      </c>
    </row>
    <row r="78" spans="5:21" x14ac:dyDescent="0.25">
      <c r="E78" s="114" t="s">
        <v>1073</v>
      </c>
      <c r="F78" s="1" t="str">
        <f t="shared" si="2"/>
        <v>M_1_[11 +]</v>
      </c>
      <c r="G78" s="1"/>
      <c r="H78" s="1">
        <f>SUMIF(L!AC:AC,Datos!F78,L!T:T)</f>
        <v>1521</v>
      </c>
      <c r="I78" s="1">
        <f>COUNTIF(L!AC:AC,Datos!F78)</f>
        <v>78</v>
      </c>
      <c r="J78" s="1">
        <f>SUMIF(L!AC:AC,Datos!F78,L!AD:AD)</f>
        <v>202709598</v>
      </c>
      <c r="K78" s="1">
        <f>COUNTIFS(L!AC:AC,F78,L!AD:AD,"&gt;0")</f>
        <v>77</v>
      </c>
      <c r="S78">
        <v>12633657</v>
      </c>
      <c r="T78">
        <v>1</v>
      </c>
      <c r="U78" t="str">
        <v>M</v>
      </c>
    </row>
    <row r="79" spans="5:21" x14ac:dyDescent="0.25">
      <c r="E79" s="114" t="s">
        <v>1075</v>
      </c>
      <c r="F79" s="1" t="str">
        <f t="shared" si="2"/>
        <v>M_2_[11 +]</v>
      </c>
      <c r="G79" s="1"/>
      <c r="H79" s="1">
        <f>SUMIF(L!AC:AC,Datos!F79,L!T:T)</f>
        <v>11</v>
      </c>
      <c r="I79" s="1">
        <f>COUNTIF(L!AC:AC,Datos!F79)</f>
        <v>1</v>
      </c>
      <c r="J79" s="1">
        <f>SUMIF(L!AC:AC,Datos!F79,L!AD:AD)</f>
        <v>2303536</v>
      </c>
      <c r="K79" s="1">
        <f>COUNTIFS(L!AC:AC,F79,L!AD:AD,"&gt;0")</f>
        <v>1</v>
      </c>
      <c r="S79">
        <v>12634622</v>
      </c>
      <c r="T79">
        <v>1</v>
      </c>
      <c r="U79" t="str">
        <v>M</v>
      </c>
    </row>
    <row r="80" spans="5:21" x14ac:dyDescent="0.25">
      <c r="E80" s="114" t="s">
        <v>1077</v>
      </c>
      <c r="F80" s="1" t="str">
        <f t="shared" si="2"/>
        <v>M_3_[11 +]</v>
      </c>
      <c r="G80" s="1"/>
      <c r="H80" s="1">
        <f>SUMIF(L!AC:AC,Datos!F80,L!T:T)</f>
        <v>599</v>
      </c>
      <c r="I80" s="1">
        <f>COUNTIF(L!AC:AC,Datos!F80)</f>
        <v>9</v>
      </c>
      <c r="J80" s="1">
        <f>SUMIF(L!AC:AC,Datos!F80,L!AD:AD)</f>
        <v>62827600</v>
      </c>
      <c r="K80" s="1">
        <f>COUNTIFS(L!AC:AC,F80,L!AD:AD,"&gt;0")</f>
        <v>9</v>
      </c>
      <c r="S80">
        <v>12644650</v>
      </c>
      <c r="T80">
        <v>1</v>
      </c>
      <c r="U80" t="str">
        <v>H</v>
      </c>
    </row>
    <row r="81" spans="5:21" x14ac:dyDescent="0.25">
      <c r="E81" s="114" t="s">
        <v>1079</v>
      </c>
      <c r="F81" s="1" t="str">
        <f t="shared" si="2"/>
        <v>M_4_[11 +]</v>
      </c>
      <c r="G81" s="1"/>
      <c r="H81" s="1">
        <f>SUMIF(L!AC:AC,Datos!F81,L!T:T)</f>
        <v>150</v>
      </c>
      <c r="I81" s="1">
        <f>COUNTIF(L!AC:AC,Datos!F81)</f>
        <v>5</v>
      </c>
      <c r="J81" s="1">
        <f>SUMIF(L!AC:AC,Datos!F81,L!AD:AD)</f>
        <v>10489760</v>
      </c>
      <c r="K81" s="1">
        <f>COUNTIFS(L!AC:AC,F81,L!AD:AD,"&gt;0")</f>
        <v>5</v>
      </c>
      <c r="S81">
        <v>12669693</v>
      </c>
      <c r="T81">
        <v>1</v>
      </c>
      <c r="U81" t="str">
        <v>M</v>
      </c>
    </row>
    <row r="82" spans="5:21" x14ac:dyDescent="0.25">
      <c r="E82" s="114" t="s">
        <v>1081</v>
      </c>
      <c r="F82" s="1" t="str">
        <f t="shared" si="2"/>
        <v>M_5A_[11 +]</v>
      </c>
      <c r="G82" s="1"/>
      <c r="H82" s="1">
        <f>SUMIF(L!AC:AC,Datos!F82,L!T:T)</f>
        <v>0</v>
      </c>
      <c r="I82" s="1">
        <f>COUNTIF(L!AC:AC,Datos!F82)</f>
        <v>0</v>
      </c>
      <c r="J82" s="1">
        <f>SUMIF(L!AC:AC,Datos!F82,L!AD:AD)</f>
        <v>0</v>
      </c>
      <c r="K82" s="1">
        <f>COUNTIFS(L!AC:AC,F82,L!AD:AD,"&gt;0")</f>
        <v>0</v>
      </c>
      <c r="S82">
        <v>12677305</v>
      </c>
      <c r="T82">
        <v>1</v>
      </c>
      <c r="U82" t="str">
        <v>M</v>
      </c>
    </row>
    <row r="83" spans="5:21" x14ac:dyDescent="0.25">
      <c r="E83" s="114" t="s">
        <v>1083</v>
      </c>
      <c r="F83" s="1" t="str">
        <f t="shared" si="2"/>
        <v>M_5B_[11 +]</v>
      </c>
      <c r="G83" s="1"/>
      <c r="H83" s="1">
        <f>SUMIF(L!AC:AC,Datos!F83,L!T:T)</f>
        <v>0</v>
      </c>
      <c r="I83" s="1">
        <f>COUNTIF(L!AC:AC,Datos!F83)</f>
        <v>0</v>
      </c>
      <c r="J83" s="1">
        <f>SUMIF(L!AC:AC,Datos!F83,L!AD:AD)</f>
        <v>0</v>
      </c>
      <c r="K83" s="1">
        <f>COUNTIFS(L!AC:AC,F83,L!AD:AD,"&gt;0")</f>
        <v>0</v>
      </c>
      <c r="S83">
        <v>12800998</v>
      </c>
      <c r="T83">
        <v>4</v>
      </c>
      <c r="U83" t="str">
        <v>M</v>
      </c>
    </row>
    <row r="84" spans="5:21" x14ac:dyDescent="0.25">
      <c r="E84" s="114" t="s">
        <v>1085</v>
      </c>
      <c r="F84" s="1" t="str">
        <f t="shared" si="2"/>
        <v>M_6A_[11 +]</v>
      </c>
      <c r="G84" s="1"/>
      <c r="H84" s="1">
        <f>SUMIF(L!AC:AC,Datos!F84,L!T:T)</f>
        <v>0</v>
      </c>
      <c r="I84" s="1">
        <f>COUNTIF(L!AC:AC,Datos!F84)</f>
        <v>0</v>
      </c>
      <c r="J84" s="1">
        <f>SUMIF(L!AC:AC,Datos!F84,L!AD:AD)</f>
        <v>0</v>
      </c>
      <c r="K84" s="1">
        <f>COUNTIFS(L!AC:AC,F84,L!AD:AD,"&gt;0")</f>
        <v>0</v>
      </c>
      <c r="S84">
        <v>12824807</v>
      </c>
      <c r="T84">
        <v>1</v>
      </c>
      <c r="U84" t="str">
        <v>H</v>
      </c>
    </row>
    <row r="85" spans="5:21" x14ac:dyDescent="0.25">
      <c r="E85" s="114" t="s">
        <v>1087</v>
      </c>
      <c r="F85" s="1" t="str">
        <f t="shared" si="2"/>
        <v>M_6B_[11 +]</v>
      </c>
      <c r="G85" s="1"/>
      <c r="H85" s="1">
        <f>SUMIF(L!AC:AC,Datos!F85,L!T:T)</f>
        <v>0</v>
      </c>
      <c r="I85" s="1">
        <f>COUNTIF(L!AC:AC,Datos!F85)</f>
        <v>0</v>
      </c>
      <c r="J85" s="1">
        <f>SUMIF(L!AC:AC,Datos!F85,L!AD:AD)</f>
        <v>0</v>
      </c>
      <c r="K85" s="1">
        <f>COUNTIFS(L!AC:AC,F85,L!AD:AD,"&gt;0")</f>
        <v>0</v>
      </c>
      <c r="S85">
        <v>12849139</v>
      </c>
      <c r="T85">
        <v>1</v>
      </c>
      <c r="U85" t="str">
        <v>M</v>
      </c>
    </row>
    <row r="86" spans="5:21" x14ac:dyDescent="0.25">
      <c r="E86" s="114" t="s">
        <v>1089</v>
      </c>
      <c r="F86" s="1" t="str">
        <f t="shared" si="2"/>
        <v>M_7_[11 +]</v>
      </c>
      <c r="G86" s="1"/>
      <c r="H86" s="1">
        <f>SUMIF(L!AC:AC,Datos!F86,L!T:T)</f>
        <v>38</v>
      </c>
      <c r="I86" s="1">
        <f>COUNTIF(L!AC:AC,Datos!F86)</f>
        <v>3</v>
      </c>
      <c r="J86" s="1">
        <f>SUMIF(L!AC:AC,Datos!F86,L!AD:AD)</f>
        <v>4706458</v>
      </c>
      <c r="K86" s="1">
        <f>COUNTIFS(L!AC:AC,F86,L!AD:AD,"&gt;0")</f>
        <v>3</v>
      </c>
      <c r="S86">
        <v>12850773</v>
      </c>
      <c r="T86">
        <v>1</v>
      </c>
      <c r="U86" t="str">
        <v>M</v>
      </c>
    </row>
    <row r="87" spans="5:21" x14ac:dyDescent="0.25">
      <c r="E87" s="114" t="s">
        <v>1091</v>
      </c>
      <c r="F87" s="1" t="str">
        <f t="shared" si="2"/>
        <v>M_8_[11 +]</v>
      </c>
      <c r="G87" s="1"/>
      <c r="H87" s="1">
        <f>SUMIF(L!AC:AC,Datos!F87,L!T:T)</f>
        <v>0</v>
      </c>
      <c r="I87" s="1">
        <f>COUNTIF(L!AC:AC,Datos!F87)</f>
        <v>0</v>
      </c>
      <c r="J87" s="1">
        <f>SUMIF(L!AC:AC,Datos!F87,L!AD:AD)</f>
        <v>0</v>
      </c>
      <c r="K87" s="1">
        <f>COUNTIFS(L!AC:AC,F87,L!AD:AD,"&gt;0")</f>
        <v>0</v>
      </c>
      <c r="S87">
        <v>12869864</v>
      </c>
      <c r="T87">
        <v>3</v>
      </c>
      <c r="U87" t="str">
        <v>M</v>
      </c>
    </row>
    <row r="88" spans="5:21" x14ac:dyDescent="0.25">
      <c r="E88" s="114" t="s">
        <v>1093</v>
      </c>
      <c r="F88" s="1" t="str">
        <f t="shared" si="2"/>
        <v>M_9_[11 +]</v>
      </c>
      <c r="G88" s="1"/>
      <c r="H88" s="1">
        <f>SUMIF(L!AC:AC,Datos!F88,L!T:T)</f>
        <v>0</v>
      </c>
      <c r="I88" s="1">
        <f>COUNTIF(L!AC:AC,Datos!F88)</f>
        <v>0</v>
      </c>
      <c r="J88" s="1">
        <f>SUMIF(L!AC:AC,Datos!F88,L!AD:AD)</f>
        <v>0</v>
      </c>
      <c r="K88" s="1">
        <f>COUNTIFS(L!AC:AC,F88,L!AD:AD,"&gt;0")</f>
        <v>0</v>
      </c>
      <c r="S88">
        <v>12927914</v>
      </c>
      <c r="T88">
        <v>1</v>
      </c>
      <c r="U88" t="str">
        <v>M</v>
      </c>
    </row>
    <row r="89" spans="5:21" x14ac:dyDescent="0.25">
      <c r="E89" s="114" t="s">
        <v>1095</v>
      </c>
      <c r="F89" s="1" t="str">
        <f t="shared" si="2"/>
        <v>M_10_[11 +]</v>
      </c>
      <c r="G89" s="1"/>
      <c r="H89" s="1">
        <f>SUMIF(L!AC:AC,Datos!F89,L!T:T)</f>
        <v>0</v>
      </c>
      <c r="I89" s="1">
        <f>COUNTIF(L!AC:AC,Datos!F89)</f>
        <v>0</v>
      </c>
      <c r="J89" s="1">
        <f>SUMIF(L!AC:AC,Datos!F89,L!AD:AD)</f>
        <v>0</v>
      </c>
      <c r="K89" s="1">
        <f>COUNTIFS(L!AC:AC,F89,L!AD:AD,"&gt;0")</f>
        <v>0</v>
      </c>
      <c r="S89">
        <v>12935948</v>
      </c>
      <c r="T89">
        <v>2</v>
      </c>
      <c r="U89" t="str">
        <v>M</v>
      </c>
    </row>
    <row r="90" spans="5:21" x14ac:dyDescent="0.25">
      <c r="E90" s="114" t="s">
        <v>1097</v>
      </c>
      <c r="F90" s="1" t="str">
        <f t="shared" si="2"/>
        <v>M_11_[11 +]</v>
      </c>
      <c r="G90" s="1"/>
      <c r="H90" s="1">
        <f>SUMIF(L!AC:AC,Datos!F90,L!T:T)</f>
        <v>0</v>
      </c>
      <c r="I90" s="1">
        <f>COUNTIF(L!AC:AC,Datos!F90)</f>
        <v>0</v>
      </c>
      <c r="J90" s="1">
        <f>SUMIF(L!AC:AC,Datos!F90,L!AD:AD)</f>
        <v>0</v>
      </c>
      <c r="K90" s="1">
        <f>COUNTIFS(L!AC:AC,F90,L!AD:AD,"&gt;0")</f>
        <v>0</v>
      </c>
      <c r="S90">
        <v>13017680</v>
      </c>
      <c r="T90">
        <v>1</v>
      </c>
      <c r="U90" t="str">
        <v>M</v>
      </c>
    </row>
    <row r="91" spans="5:21" x14ac:dyDescent="0.25">
      <c r="E91" s="114" t="s">
        <v>1099</v>
      </c>
      <c r="F91" s="1" t="str">
        <f t="shared" si="2"/>
        <v>M_12_[11 +]</v>
      </c>
      <c r="G91" s="1"/>
      <c r="H91" s="1">
        <f>SUMIF(L!AC:AC,Datos!F91,L!T:T)</f>
        <v>0</v>
      </c>
      <c r="I91" s="1">
        <f>COUNTIF(L!AC:AC,Datos!F91)</f>
        <v>0</v>
      </c>
      <c r="J91" s="1">
        <f>SUMIF(L!AC:AC,Datos!F91,L!AD:AD)</f>
        <v>0</v>
      </c>
      <c r="K91" s="1">
        <f>COUNTIFS(L!AC:AC,F91,L!AD:AD,"&gt;0")</f>
        <v>0</v>
      </c>
      <c r="S91">
        <v>13133772</v>
      </c>
      <c r="T91">
        <v>2</v>
      </c>
      <c r="U91" t="str">
        <v>H</v>
      </c>
    </row>
    <row r="92" spans="5:21" x14ac:dyDescent="0.25">
      <c r="E92" s="114" t="s">
        <v>1101</v>
      </c>
      <c r="F92" s="1" t="str">
        <f t="shared" si="2"/>
        <v>M_13_[11 +]</v>
      </c>
      <c r="G92" s="1"/>
      <c r="H92" s="1">
        <f>SUMIF(L!AC:AC,Datos!F92,L!T:T)</f>
        <v>0</v>
      </c>
      <c r="I92" s="1">
        <f>COUNTIF(L!AC:AC,Datos!F92)</f>
        <v>0</v>
      </c>
      <c r="J92" s="1">
        <f>SUMIF(L!AC:AC,Datos!F92,L!AD:AD)</f>
        <v>0</v>
      </c>
      <c r="K92" s="1">
        <f>COUNTIFS(L!AC:AC,F92,L!AD:AD,"&gt;0")</f>
        <v>0</v>
      </c>
      <c r="S92">
        <v>13134066</v>
      </c>
      <c r="T92">
        <v>1</v>
      </c>
      <c r="U92" t="str">
        <v>H</v>
      </c>
    </row>
    <row r="93" spans="5:21" x14ac:dyDescent="0.25">
      <c r="S93">
        <v>13227546</v>
      </c>
      <c r="T93">
        <v>2</v>
      </c>
      <c r="U93" t="str">
        <v>M</v>
      </c>
    </row>
    <row r="94" spans="5:21" x14ac:dyDescent="0.25">
      <c r="H94">
        <f>SUM(H3:H92)</f>
        <v>3850</v>
      </c>
      <c r="I94">
        <f>SUM(I3:I92)</f>
        <v>350</v>
      </c>
      <c r="J94">
        <f>SUM(J3:J92)</f>
        <v>424556248</v>
      </c>
      <c r="K94">
        <f>SUM(K3:K92)</f>
        <v>347</v>
      </c>
      <c r="S94">
        <v>13231766</v>
      </c>
      <c r="T94">
        <v>1</v>
      </c>
      <c r="U94" t="str">
        <v>H</v>
      </c>
    </row>
    <row r="95" spans="5:21" x14ac:dyDescent="0.25">
      <c r="S95">
        <v>13243945</v>
      </c>
      <c r="T95">
        <v>1</v>
      </c>
      <c r="U95" t="str">
        <v>H</v>
      </c>
    </row>
    <row r="96" spans="5:21" x14ac:dyDescent="0.25">
      <c r="S96">
        <v>13253591</v>
      </c>
      <c r="T96">
        <v>1</v>
      </c>
      <c r="U96" t="str">
        <v>M</v>
      </c>
    </row>
    <row r="97" spans="1:21" x14ac:dyDescent="0.25">
      <c r="S97">
        <v>13396757</v>
      </c>
      <c r="T97">
        <v>1</v>
      </c>
      <c r="U97" t="str">
        <v>H</v>
      </c>
    </row>
    <row r="98" spans="1:21" x14ac:dyDescent="0.25">
      <c r="S98">
        <v>13420676</v>
      </c>
      <c r="T98">
        <v>1</v>
      </c>
      <c r="U98" t="str">
        <v>H</v>
      </c>
    </row>
    <row r="99" spans="1:21" x14ac:dyDescent="0.25">
      <c r="S99">
        <v>13434311</v>
      </c>
      <c r="T99">
        <v>1</v>
      </c>
      <c r="U99" t="str">
        <v>H</v>
      </c>
    </row>
    <row r="100" spans="1:21" x14ac:dyDescent="0.25">
      <c r="S100">
        <v>13450578</v>
      </c>
      <c r="T100">
        <v>3</v>
      </c>
      <c r="U100" t="str">
        <v>M</v>
      </c>
    </row>
    <row r="101" spans="1:21" x14ac:dyDescent="0.25">
      <c r="S101">
        <v>13496357</v>
      </c>
      <c r="T101">
        <v>1</v>
      </c>
      <c r="U101" t="str">
        <v>M</v>
      </c>
    </row>
    <row r="102" spans="1:21" x14ac:dyDescent="0.25">
      <c r="S102">
        <v>13545055</v>
      </c>
      <c r="T102">
        <v>3</v>
      </c>
      <c r="U102" t="str">
        <v>M</v>
      </c>
    </row>
    <row r="103" spans="1:21" x14ac:dyDescent="0.25">
      <c r="S103">
        <v>13600822</v>
      </c>
      <c r="T103">
        <v>1</v>
      </c>
      <c r="U103" t="str">
        <v>M</v>
      </c>
    </row>
    <row r="104" spans="1:21" x14ac:dyDescent="0.25">
      <c r="S104">
        <v>13654335</v>
      </c>
      <c r="T104">
        <v>1</v>
      </c>
      <c r="U104" t="str">
        <v>M</v>
      </c>
    </row>
    <row r="105" spans="1:21" x14ac:dyDescent="0.25">
      <c r="B105"/>
      <c r="C105"/>
      <c r="S105">
        <v>13664283</v>
      </c>
      <c r="T105">
        <v>1</v>
      </c>
      <c r="U105" t="str">
        <v>M</v>
      </c>
    </row>
    <row r="106" spans="1:21" ht="18.75" x14ac:dyDescent="0.3">
      <c r="A106" s="115"/>
      <c r="B106" s="115"/>
      <c r="C106" s="237" t="s">
        <v>1110</v>
      </c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116"/>
      <c r="P106" s="115"/>
      <c r="Q106" s="115"/>
      <c r="R106" s="115"/>
      <c r="S106">
        <v>13687239</v>
      </c>
      <c r="T106">
        <v>1</v>
      </c>
      <c r="U106" t="str">
        <v>M</v>
      </c>
    </row>
    <row r="107" spans="1:21" ht="18.75" x14ac:dyDescent="0.3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>
        <v>13830596</v>
      </c>
      <c r="T107">
        <v>1</v>
      </c>
      <c r="U107" t="str">
        <v>H</v>
      </c>
    </row>
    <row r="108" spans="1:21" ht="18.75" x14ac:dyDescent="0.3">
      <c r="A108" s="115"/>
      <c r="B108" s="241" t="s">
        <v>1111</v>
      </c>
      <c r="C108" s="241" t="s">
        <v>257</v>
      </c>
      <c r="D108" s="242" t="s">
        <v>630</v>
      </c>
      <c r="E108" s="242"/>
      <c r="F108" s="242"/>
      <c r="G108" s="242"/>
      <c r="H108" s="242"/>
      <c r="I108" s="242"/>
      <c r="J108" s="242"/>
      <c r="K108" s="117"/>
      <c r="L108" s="243" t="s">
        <v>1112</v>
      </c>
      <c r="M108" s="243"/>
      <c r="N108" s="243"/>
      <c r="O108" s="118"/>
      <c r="P108" s="115"/>
      <c r="Q108" s="115"/>
      <c r="R108" s="115"/>
      <c r="S108">
        <v>13879535</v>
      </c>
      <c r="T108">
        <v>1</v>
      </c>
      <c r="U108" t="str">
        <v>H</v>
      </c>
    </row>
    <row r="109" spans="1:21" ht="18.75" x14ac:dyDescent="0.3">
      <c r="A109" s="115"/>
      <c r="B109" s="241"/>
      <c r="C109" s="241"/>
      <c r="D109" s="242" t="s">
        <v>1113</v>
      </c>
      <c r="E109" s="242"/>
      <c r="F109" s="242"/>
      <c r="G109" s="117"/>
      <c r="H109" s="242" t="s">
        <v>1114</v>
      </c>
      <c r="I109" s="242"/>
      <c r="J109" s="242"/>
      <c r="K109" s="117"/>
      <c r="L109" s="243"/>
      <c r="M109" s="243"/>
      <c r="N109" s="243"/>
      <c r="O109" s="118"/>
      <c r="P109" s="115"/>
      <c r="Q109" s="115"/>
      <c r="R109" s="115"/>
      <c r="S109">
        <v>13913709</v>
      </c>
      <c r="T109">
        <v>2</v>
      </c>
      <c r="U109" t="str">
        <v>M</v>
      </c>
    </row>
    <row r="110" spans="1:21" ht="75" customHeight="1" x14ac:dyDescent="0.3">
      <c r="A110" s="115"/>
      <c r="B110" s="241"/>
      <c r="C110" s="241"/>
      <c r="D110" s="119" t="s">
        <v>1115</v>
      </c>
      <c r="E110" s="119" t="s">
        <v>1116</v>
      </c>
      <c r="F110" s="119" t="s">
        <v>1117</v>
      </c>
      <c r="G110" s="119"/>
      <c r="H110" s="119" t="s">
        <v>1115</v>
      </c>
      <c r="I110" s="119" t="s">
        <v>1116</v>
      </c>
      <c r="J110" s="119" t="s">
        <v>1117</v>
      </c>
      <c r="K110" s="119"/>
      <c r="L110" s="120" t="s">
        <v>1115</v>
      </c>
      <c r="M110" s="120" t="s">
        <v>1116</v>
      </c>
      <c r="N110" s="120" t="s">
        <v>1117</v>
      </c>
      <c r="O110" s="121"/>
      <c r="P110" s="115"/>
      <c r="Q110" s="115"/>
      <c r="R110" s="115"/>
      <c r="S110">
        <v>13921753</v>
      </c>
      <c r="T110">
        <v>2</v>
      </c>
      <c r="U110" t="str">
        <v>M</v>
      </c>
    </row>
    <row r="111" spans="1:21" ht="18.75" x14ac:dyDescent="0.3">
      <c r="A111" s="115"/>
      <c r="B111" s="122">
        <v>1</v>
      </c>
      <c r="C111" s="123" t="s">
        <v>275</v>
      </c>
      <c r="D111" s="122">
        <f t="shared" ref="D111:D125" si="3">H3</f>
        <v>96</v>
      </c>
      <c r="E111" s="122">
        <f t="shared" ref="E111:E125" si="4">H33</f>
        <v>93</v>
      </c>
      <c r="F111" s="122">
        <f t="shared" ref="F111:F125" si="5">H63</f>
        <v>883</v>
      </c>
      <c r="G111" s="122"/>
      <c r="H111" s="122">
        <f t="shared" ref="H111:H125" si="6">H18</f>
        <v>223</v>
      </c>
      <c r="I111" s="122">
        <f t="shared" ref="I111:I125" si="7">H48</f>
        <v>188</v>
      </c>
      <c r="J111" s="122">
        <f t="shared" ref="J111:J125" si="8">H78</f>
        <v>1521</v>
      </c>
      <c r="K111" s="122"/>
      <c r="L111" s="122">
        <f>D111+H111</f>
        <v>319</v>
      </c>
      <c r="M111" s="122">
        <f>E111+I111</f>
        <v>281</v>
      </c>
      <c r="N111" s="122">
        <f>F111+J111</f>
        <v>2404</v>
      </c>
      <c r="O111" s="124"/>
      <c r="P111" s="115"/>
      <c r="Q111" s="115"/>
      <c r="R111" s="115"/>
      <c r="S111">
        <v>13984355</v>
      </c>
      <c r="T111">
        <v>3</v>
      </c>
      <c r="U111" t="str">
        <v>M</v>
      </c>
    </row>
    <row r="112" spans="1:21" ht="18.75" x14ac:dyDescent="0.3">
      <c r="A112" s="115"/>
      <c r="B112" s="122">
        <v>2</v>
      </c>
      <c r="C112" s="123" t="s">
        <v>276</v>
      </c>
      <c r="D112" s="122">
        <f t="shared" si="3"/>
        <v>2</v>
      </c>
      <c r="E112" s="122">
        <f t="shared" si="4"/>
        <v>0</v>
      </c>
      <c r="F112" s="122">
        <f t="shared" si="5"/>
        <v>0</v>
      </c>
      <c r="G112" s="122"/>
      <c r="H112" s="122">
        <f t="shared" si="6"/>
        <v>3</v>
      </c>
      <c r="I112" s="122">
        <f t="shared" si="7"/>
        <v>0</v>
      </c>
      <c r="J112" s="122">
        <f t="shared" si="8"/>
        <v>11</v>
      </c>
      <c r="K112" s="122"/>
      <c r="L112" s="122">
        <f t="shared" ref="L112:N125" si="9">D112+H112</f>
        <v>5</v>
      </c>
      <c r="M112" s="122">
        <f t="shared" si="9"/>
        <v>0</v>
      </c>
      <c r="N112" s="122">
        <f t="shared" si="9"/>
        <v>11</v>
      </c>
      <c r="O112" s="124"/>
      <c r="P112" s="115"/>
      <c r="Q112" s="115"/>
      <c r="R112" s="115"/>
      <c r="S112">
        <v>14058800</v>
      </c>
      <c r="T112">
        <v>1</v>
      </c>
      <c r="U112" t="str">
        <v>M</v>
      </c>
    </row>
    <row r="113" spans="1:21" ht="37.5" x14ac:dyDescent="0.3">
      <c r="A113" s="115"/>
      <c r="B113" s="122">
        <v>3</v>
      </c>
      <c r="C113" s="123" t="s">
        <v>1118</v>
      </c>
      <c r="D113" s="122">
        <f t="shared" si="3"/>
        <v>2</v>
      </c>
      <c r="E113" s="122">
        <f t="shared" si="4"/>
        <v>0</v>
      </c>
      <c r="F113" s="122">
        <f t="shared" si="5"/>
        <v>0</v>
      </c>
      <c r="G113" s="122"/>
      <c r="H113" s="122">
        <f t="shared" si="6"/>
        <v>0</v>
      </c>
      <c r="I113" s="122">
        <f t="shared" si="7"/>
        <v>0</v>
      </c>
      <c r="J113" s="122">
        <f t="shared" si="8"/>
        <v>599</v>
      </c>
      <c r="K113" s="122"/>
      <c r="L113" s="122">
        <f t="shared" si="9"/>
        <v>2</v>
      </c>
      <c r="M113" s="122">
        <f t="shared" si="9"/>
        <v>0</v>
      </c>
      <c r="N113" s="122">
        <f t="shared" si="9"/>
        <v>599</v>
      </c>
      <c r="O113" s="124"/>
      <c r="P113" s="115"/>
      <c r="Q113" s="115"/>
      <c r="R113" s="115"/>
      <c r="S113">
        <v>14104719</v>
      </c>
      <c r="T113">
        <v>1</v>
      </c>
      <c r="U113" t="str">
        <v>M</v>
      </c>
    </row>
    <row r="114" spans="1:21" ht="37.5" x14ac:dyDescent="0.3">
      <c r="A114" s="115"/>
      <c r="B114" s="122">
        <v>4</v>
      </c>
      <c r="C114" s="123" t="s">
        <v>278</v>
      </c>
      <c r="D114" s="122">
        <f t="shared" si="3"/>
        <v>0</v>
      </c>
      <c r="E114" s="122">
        <f t="shared" si="4"/>
        <v>0</v>
      </c>
      <c r="F114" s="122">
        <f t="shared" si="5"/>
        <v>0</v>
      </c>
      <c r="G114" s="122"/>
      <c r="H114" s="122">
        <f t="shared" si="6"/>
        <v>0</v>
      </c>
      <c r="I114" s="122">
        <f t="shared" si="7"/>
        <v>35</v>
      </c>
      <c r="J114" s="122">
        <f t="shared" si="8"/>
        <v>150</v>
      </c>
      <c r="K114" s="122"/>
      <c r="L114" s="122">
        <f t="shared" si="9"/>
        <v>0</v>
      </c>
      <c r="M114" s="122">
        <f t="shared" si="9"/>
        <v>35</v>
      </c>
      <c r="N114" s="122">
        <f t="shared" si="9"/>
        <v>150</v>
      </c>
      <c r="O114" s="124"/>
      <c r="P114" s="115"/>
      <c r="Q114" s="115"/>
      <c r="R114" s="115"/>
      <c r="S114">
        <v>14108402</v>
      </c>
      <c r="T114">
        <v>1</v>
      </c>
      <c r="U114" t="str">
        <v>M</v>
      </c>
    </row>
    <row r="115" spans="1:21" ht="33" customHeight="1" x14ac:dyDescent="0.3">
      <c r="A115" s="115"/>
      <c r="B115" s="122" t="s">
        <v>743</v>
      </c>
      <c r="C115" s="123" t="s">
        <v>742</v>
      </c>
      <c r="D115" s="122">
        <f t="shared" si="3"/>
        <v>0</v>
      </c>
      <c r="E115" s="122">
        <f t="shared" si="4"/>
        <v>0</v>
      </c>
      <c r="F115" s="122">
        <f t="shared" si="5"/>
        <v>0</v>
      </c>
      <c r="G115" s="122"/>
      <c r="H115" s="122">
        <f t="shared" si="6"/>
        <v>0</v>
      </c>
      <c r="I115" s="122">
        <f t="shared" si="7"/>
        <v>0</v>
      </c>
      <c r="J115" s="122">
        <f t="shared" si="8"/>
        <v>0</v>
      </c>
      <c r="K115" s="122"/>
      <c r="L115" s="122">
        <f t="shared" si="9"/>
        <v>0</v>
      </c>
      <c r="M115" s="122">
        <f t="shared" si="9"/>
        <v>0</v>
      </c>
      <c r="N115" s="122">
        <f t="shared" si="9"/>
        <v>0</v>
      </c>
      <c r="O115" s="124"/>
      <c r="P115" s="115"/>
      <c r="Q115" s="115"/>
      <c r="R115" s="115"/>
      <c r="S115">
        <v>14112320</v>
      </c>
      <c r="T115">
        <v>1</v>
      </c>
      <c r="U115" t="str">
        <v>M</v>
      </c>
    </row>
    <row r="116" spans="1:21" ht="112.5" x14ac:dyDescent="0.3">
      <c r="A116" s="115"/>
      <c r="B116" s="122" t="s">
        <v>745</v>
      </c>
      <c r="C116" s="123" t="s">
        <v>1119</v>
      </c>
      <c r="D116" s="122">
        <f t="shared" si="3"/>
        <v>0</v>
      </c>
      <c r="E116" s="122">
        <f t="shared" si="4"/>
        <v>0</v>
      </c>
      <c r="F116" s="122">
        <f t="shared" si="5"/>
        <v>0</v>
      </c>
      <c r="G116" s="122"/>
      <c r="H116" s="122">
        <f t="shared" si="6"/>
        <v>0</v>
      </c>
      <c r="I116" s="122">
        <f t="shared" si="7"/>
        <v>0</v>
      </c>
      <c r="J116" s="122">
        <f t="shared" si="8"/>
        <v>0</v>
      </c>
      <c r="K116" s="122"/>
      <c r="L116" s="122">
        <f t="shared" si="9"/>
        <v>0</v>
      </c>
      <c r="M116" s="122">
        <f t="shared" si="9"/>
        <v>0</v>
      </c>
      <c r="N116" s="122">
        <f t="shared" si="9"/>
        <v>0</v>
      </c>
      <c r="O116" s="124"/>
      <c r="P116" s="115"/>
      <c r="Q116" s="115"/>
      <c r="R116" s="115"/>
      <c r="S116">
        <v>14160812</v>
      </c>
      <c r="T116">
        <v>1</v>
      </c>
      <c r="U116" t="str">
        <v>M</v>
      </c>
    </row>
    <row r="117" spans="1:21" ht="37.5" x14ac:dyDescent="0.3">
      <c r="A117" s="115"/>
      <c r="B117" s="122" t="s">
        <v>747</v>
      </c>
      <c r="C117" s="123" t="s">
        <v>746</v>
      </c>
      <c r="D117" s="122">
        <f t="shared" si="3"/>
        <v>0</v>
      </c>
      <c r="E117" s="122">
        <f t="shared" si="4"/>
        <v>0</v>
      </c>
      <c r="F117" s="122">
        <f t="shared" si="5"/>
        <v>0</v>
      </c>
      <c r="G117" s="122"/>
      <c r="H117" s="122">
        <f t="shared" si="6"/>
        <v>0</v>
      </c>
      <c r="I117" s="122">
        <f t="shared" si="7"/>
        <v>0</v>
      </c>
      <c r="J117" s="122">
        <f t="shared" si="8"/>
        <v>0</v>
      </c>
      <c r="K117" s="122"/>
      <c r="L117" s="122">
        <f t="shared" si="9"/>
        <v>0</v>
      </c>
      <c r="M117" s="122">
        <f t="shared" si="9"/>
        <v>0</v>
      </c>
      <c r="N117" s="122">
        <f t="shared" si="9"/>
        <v>0</v>
      </c>
      <c r="O117" s="124"/>
      <c r="P117" s="115"/>
      <c r="Q117" s="115"/>
      <c r="R117" s="115"/>
      <c r="S117">
        <v>14178887</v>
      </c>
      <c r="T117">
        <v>2</v>
      </c>
      <c r="U117" t="str">
        <v>M</v>
      </c>
    </row>
    <row r="118" spans="1:21" ht="93.75" x14ac:dyDescent="0.3">
      <c r="A118" s="115"/>
      <c r="B118" s="122" t="s">
        <v>749</v>
      </c>
      <c r="C118" s="123" t="s">
        <v>1120</v>
      </c>
      <c r="D118" s="122">
        <f t="shared" si="3"/>
        <v>0</v>
      </c>
      <c r="E118" s="122">
        <f t="shared" si="4"/>
        <v>0</v>
      </c>
      <c r="F118" s="122">
        <f t="shared" si="5"/>
        <v>0</v>
      </c>
      <c r="G118" s="122"/>
      <c r="H118" s="122">
        <f t="shared" si="6"/>
        <v>0</v>
      </c>
      <c r="I118" s="122">
        <f t="shared" si="7"/>
        <v>0</v>
      </c>
      <c r="J118" s="122">
        <f t="shared" si="8"/>
        <v>0</v>
      </c>
      <c r="K118" s="122"/>
      <c r="L118" s="122">
        <f t="shared" si="9"/>
        <v>0</v>
      </c>
      <c r="M118" s="122">
        <f t="shared" si="9"/>
        <v>0</v>
      </c>
      <c r="N118" s="122">
        <f t="shared" si="9"/>
        <v>0</v>
      </c>
      <c r="O118" s="124"/>
      <c r="P118" s="115"/>
      <c r="Q118" s="115"/>
      <c r="R118" s="115"/>
      <c r="S118">
        <v>14181138</v>
      </c>
      <c r="T118">
        <v>1</v>
      </c>
      <c r="U118" t="str">
        <v>H</v>
      </c>
    </row>
    <row r="119" spans="1:21" ht="18.75" x14ac:dyDescent="0.3">
      <c r="A119" s="115"/>
      <c r="B119" s="122">
        <v>7</v>
      </c>
      <c r="C119" s="123" t="s">
        <v>279</v>
      </c>
      <c r="D119" s="122">
        <f t="shared" si="3"/>
        <v>0</v>
      </c>
      <c r="E119" s="122">
        <f t="shared" si="4"/>
        <v>0</v>
      </c>
      <c r="F119" s="122">
        <f t="shared" si="5"/>
        <v>0</v>
      </c>
      <c r="G119" s="122"/>
      <c r="H119" s="122">
        <f t="shared" si="6"/>
        <v>0</v>
      </c>
      <c r="I119" s="122">
        <f t="shared" si="7"/>
        <v>6</v>
      </c>
      <c r="J119" s="122">
        <f t="shared" si="8"/>
        <v>38</v>
      </c>
      <c r="K119" s="122"/>
      <c r="L119" s="122">
        <f t="shared" si="9"/>
        <v>0</v>
      </c>
      <c r="M119" s="122">
        <f t="shared" si="9"/>
        <v>6</v>
      </c>
      <c r="N119" s="122">
        <f t="shared" si="9"/>
        <v>38</v>
      </c>
      <c r="O119" s="124"/>
      <c r="P119" s="115"/>
      <c r="Q119" s="115"/>
      <c r="R119" s="115"/>
      <c r="S119">
        <v>14191188</v>
      </c>
      <c r="T119">
        <v>2</v>
      </c>
      <c r="U119" t="str">
        <v>M</v>
      </c>
    </row>
    <row r="120" spans="1:21" ht="18.75" x14ac:dyDescent="0.3">
      <c r="A120" s="115"/>
      <c r="B120" s="122">
        <v>8</v>
      </c>
      <c r="C120" s="123" t="s">
        <v>750</v>
      </c>
      <c r="D120" s="122">
        <f t="shared" si="3"/>
        <v>0</v>
      </c>
      <c r="E120" s="122">
        <f t="shared" si="4"/>
        <v>0</v>
      </c>
      <c r="F120" s="122">
        <f t="shared" si="5"/>
        <v>0</v>
      </c>
      <c r="G120" s="122"/>
      <c r="H120" s="122">
        <f t="shared" si="6"/>
        <v>0</v>
      </c>
      <c r="I120" s="122">
        <f t="shared" si="7"/>
        <v>0</v>
      </c>
      <c r="J120" s="122">
        <f t="shared" si="8"/>
        <v>0</v>
      </c>
      <c r="K120" s="122"/>
      <c r="L120" s="122">
        <f t="shared" si="9"/>
        <v>0</v>
      </c>
      <c r="M120" s="122">
        <f t="shared" si="9"/>
        <v>0</v>
      </c>
      <c r="N120" s="122">
        <f t="shared" si="9"/>
        <v>0</v>
      </c>
      <c r="O120" s="124"/>
      <c r="P120" s="115"/>
      <c r="Q120" s="115"/>
      <c r="R120" s="115"/>
      <c r="S120">
        <v>14244068</v>
      </c>
      <c r="T120">
        <v>1</v>
      </c>
      <c r="U120" t="str">
        <v>M</v>
      </c>
    </row>
    <row r="121" spans="1:21" ht="18.75" x14ac:dyDescent="0.3">
      <c r="A121" s="115"/>
      <c r="B121" s="122">
        <v>9</v>
      </c>
      <c r="C121" s="123" t="s">
        <v>715</v>
      </c>
      <c r="D121" s="122">
        <f t="shared" si="3"/>
        <v>0</v>
      </c>
      <c r="E121" s="122">
        <f t="shared" si="4"/>
        <v>0</v>
      </c>
      <c r="F121" s="122">
        <f t="shared" si="5"/>
        <v>0</v>
      </c>
      <c r="G121" s="122"/>
      <c r="H121" s="122">
        <f t="shared" si="6"/>
        <v>0</v>
      </c>
      <c r="I121" s="122">
        <f t="shared" si="7"/>
        <v>0</v>
      </c>
      <c r="J121" s="122">
        <f t="shared" si="8"/>
        <v>0</v>
      </c>
      <c r="K121" s="122"/>
      <c r="L121" s="122">
        <f t="shared" si="9"/>
        <v>0</v>
      </c>
      <c r="M121" s="122">
        <f t="shared" si="9"/>
        <v>0</v>
      </c>
      <c r="N121" s="122">
        <f t="shared" si="9"/>
        <v>0</v>
      </c>
      <c r="O121" s="124"/>
      <c r="P121" s="115"/>
      <c r="Q121" s="115"/>
      <c r="R121" s="115"/>
      <c r="S121">
        <v>14372515</v>
      </c>
      <c r="T121">
        <v>1</v>
      </c>
      <c r="U121" t="str">
        <v>H</v>
      </c>
    </row>
    <row r="122" spans="1:21" ht="18.75" x14ac:dyDescent="0.3">
      <c r="A122" s="115"/>
      <c r="B122" s="122">
        <v>10</v>
      </c>
      <c r="C122" s="123" t="s">
        <v>716</v>
      </c>
      <c r="D122" s="122">
        <f t="shared" si="3"/>
        <v>0</v>
      </c>
      <c r="E122" s="122">
        <f t="shared" si="4"/>
        <v>0</v>
      </c>
      <c r="F122" s="122">
        <f t="shared" si="5"/>
        <v>0</v>
      </c>
      <c r="G122" s="122"/>
      <c r="H122" s="122">
        <f t="shared" si="6"/>
        <v>0</v>
      </c>
      <c r="I122" s="122">
        <f t="shared" si="7"/>
        <v>0</v>
      </c>
      <c r="J122" s="122">
        <f t="shared" si="8"/>
        <v>0</v>
      </c>
      <c r="K122" s="122"/>
      <c r="L122" s="122">
        <f t="shared" si="9"/>
        <v>0</v>
      </c>
      <c r="M122" s="122">
        <f t="shared" si="9"/>
        <v>0</v>
      </c>
      <c r="N122" s="122">
        <f t="shared" si="9"/>
        <v>0</v>
      </c>
      <c r="O122" s="124"/>
      <c r="P122" s="115"/>
      <c r="Q122" s="115"/>
      <c r="R122" s="115"/>
      <c r="S122">
        <v>14399372</v>
      </c>
      <c r="T122">
        <v>1</v>
      </c>
      <c r="U122" t="str">
        <v>M</v>
      </c>
    </row>
    <row r="123" spans="1:21" ht="18.75" x14ac:dyDescent="0.3">
      <c r="A123" s="115"/>
      <c r="B123" s="122">
        <v>11</v>
      </c>
      <c r="C123" s="123" t="s">
        <v>717</v>
      </c>
      <c r="D123" s="122">
        <f t="shared" si="3"/>
        <v>0</v>
      </c>
      <c r="E123" s="122">
        <f t="shared" si="4"/>
        <v>0</v>
      </c>
      <c r="F123" s="122">
        <f t="shared" si="5"/>
        <v>0</v>
      </c>
      <c r="G123" s="122"/>
      <c r="H123" s="122">
        <f t="shared" si="6"/>
        <v>0</v>
      </c>
      <c r="I123" s="122">
        <f t="shared" si="7"/>
        <v>0</v>
      </c>
      <c r="J123" s="122">
        <f t="shared" si="8"/>
        <v>0</v>
      </c>
      <c r="K123" s="122"/>
      <c r="L123" s="122">
        <f t="shared" si="9"/>
        <v>0</v>
      </c>
      <c r="M123" s="122">
        <f t="shared" si="9"/>
        <v>0</v>
      </c>
      <c r="N123" s="122">
        <f t="shared" si="9"/>
        <v>0</v>
      </c>
      <c r="O123" s="124"/>
      <c r="P123" s="115"/>
      <c r="Q123" s="115"/>
      <c r="R123" s="115"/>
      <c r="S123">
        <v>14423771</v>
      </c>
      <c r="T123">
        <v>3</v>
      </c>
      <c r="U123" t="str">
        <v>H</v>
      </c>
    </row>
    <row r="124" spans="1:21" ht="18.75" x14ac:dyDescent="0.3">
      <c r="A124" s="115"/>
      <c r="B124" s="122">
        <v>12</v>
      </c>
      <c r="C124" s="123" t="s">
        <v>718</v>
      </c>
      <c r="D124" s="122">
        <f t="shared" si="3"/>
        <v>0</v>
      </c>
      <c r="E124" s="122">
        <f t="shared" si="4"/>
        <v>0</v>
      </c>
      <c r="F124" s="122">
        <f t="shared" si="5"/>
        <v>0</v>
      </c>
      <c r="G124" s="122"/>
      <c r="H124" s="122">
        <f t="shared" si="6"/>
        <v>0</v>
      </c>
      <c r="I124" s="122">
        <f t="shared" si="7"/>
        <v>0</v>
      </c>
      <c r="J124" s="122">
        <f t="shared" si="8"/>
        <v>0</v>
      </c>
      <c r="K124" s="122"/>
      <c r="L124" s="122">
        <f t="shared" si="9"/>
        <v>0</v>
      </c>
      <c r="M124" s="122">
        <f t="shared" si="9"/>
        <v>0</v>
      </c>
      <c r="N124" s="122">
        <f t="shared" si="9"/>
        <v>0</v>
      </c>
      <c r="O124" s="124"/>
      <c r="P124" s="115"/>
      <c r="Q124" s="115"/>
      <c r="R124" s="115"/>
      <c r="S124">
        <v>14444742</v>
      </c>
      <c r="T124">
        <v>1</v>
      </c>
      <c r="U124" t="str">
        <v>H</v>
      </c>
    </row>
    <row r="125" spans="1:21" ht="93.75" x14ac:dyDescent="0.3">
      <c r="A125" s="115"/>
      <c r="B125" s="122">
        <v>13</v>
      </c>
      <c r="C125" s="123" t="s">
        <v>1121</v>
      </c>
      <c r="D125" s="122">
        <f t="shared" si="3"/>
        <v>0</v>
      </c>
      <c r="E125" s="122">
        <f t="shared" si="4"/>
        <v>0</v>
      </c>
      <c r="F125" s="122">
        <f t="shared" si="5"/>
        <v>0</v>
      </c>
      <c r="G125" s="122"/>
      <c r="H125" s="122">
        <f t="shared" si="6"/>
        <v>0</v>
      </c>
      <c r="I125" s="122">
        <f t="shared" si="7"/>
        <v>0</v>
      </c>
      <c r="J125" s="122">
        <f t="shared" si="8"/>
        <v>0</v>
      </c>
      <c r="K125" s="122"/>
      <c r="L125" s="122">
        <f t="shared" si="9"/>
        <v>0</v>
      </c>
      <c r="M125" s="122">
        <f t="shared" si="9"/>
        <v>0</v>
      </c>
      <c r="N125" s="122">
        <f t="shared" si="9"/>
        <v>0</v>
      </c>
      <c r="O125" s="124"/>
      <c r="P125" s="115"/>
      <c r="Q125" s="115"/>
      <c r="R125" s="115"/>
      <c r="S125">
        <v>14491929</v>
      </c>
      <c r="T125">
        <v>1</v>
      </c>
      <c r="U125" t="str">
        <v>M</v>
      </c>
    </row>
    <row r="126" spans="1:21" ht="18.75" x14ac:dyDescent="0.3">
      <c r="A126" s="115"/>
      <c r="B126" s="235" t="s">
        <v>1112</v>
      </c>
      <c r="C126" s="236"/>
      <c r="D126" s="125">
        <f>SUM(D111:D125)</f>
        <v>100</v>
      </c>
      <c r="E126" s="125">
        <f t="shared" ref="E126:N126" si="10">SUM(E111:E125)</f>
        <v>93</v>
      </c>
      <c r="F126" s="125">
        <f t="shared" si="10"/>
        <v>883</v>
      </c>
      <c r="G126" s="125"/>
      <c r="H126" s="125">
        <f t="shared" si="10"/>
        <v>226</v>
      </c>
      <c r="I126" s="125">
        <f t="shared" si="10"/>
        <v>229</v>
      </c>
      <c r="J126" s="125">
        <f t="shared" si="10"/>
        <v>2319</v>
      </c>
      <c r="K126" s="125"/>
      <c r="L126" s="125">
        <f t="shared" si="10"/>
        <v>326</v>
      </c>
      <c r="M126" s="125">
        <f t="shared" si="10"/>
        <v>322</v>
      </c>
      <c r="N126" s="125">
        <f t="shared" si="10"/>
        <v>3202</v>
      </c>
      <c r="O126" s="116"/>
      <c r="P126" s="115"/>
      <c r="Q126" s="115"/>
      <c r="R126" s="115"/>
      <c r="S126">
        <v>14621090</v>
      </c>
      <c r="T126">
        <v>1</v>
      </c>
      <c r="U126" t="str">
        <v>M</v>
      </c>
    </row>
    <row r="127" spans="1:21" ht="18.75" x14ac:dyDescent="0.3">
      <c r="A127" s="115"/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>
        <v>15009402</v>
      </c>
      <c r="T127">
        <v>2</v>
      </c>
      <c r="U127" t="str">
        <v>H</v>
      </c>
    </row>
    <row r="128" spans="1:21" ht="18.75" x14ac:dyDescent="0.3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>
        <v>15019933</v>
      </c>
      <c r="T128">
        <v>1</v>
      </c>
      <c r="U128" t="str">
        <v>M</v>
      </c>
    </row>
    <row r="129" spans="1:21" ht="18.75" x14ac:dyDescent="0.3">
      <c r="A129" s="115"/>
      <c r="B129" s="115"/>
      <c r="C129" s="237" t="s">
        <v>1122</v>
      </c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116"/>
      <c r="P129" s="115"/>
      <c r="Q129" s="115"/>
      <c r="R129" s="115"/>
      <c r="S129">
        <v>15057493</v>
      </c>
      <c r="T129">
        <v>1</v>
      </c>
      <c r="U129" t="str">
        <v>H</v>
      </c>
    </row>
    <row r="130" spans="1:21" ht="18.75" x14ac:dyDescent="0.3">
      <c r="A130" s="126"/>
      <c r="B130" s="126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26"/>
      <c r="Q130" s="126"/>
      <c r="R130" s="126"/>
      <c r="S130">
        <v>15183906</v>
      </c>
      <c r="T130">
        <v>1</v>
      </c>
      <c r="U130" t="str">
        <v>M</v>
      </c>
    </row>
    <row r="131" spans="1:21" ht="18.75" x14ac:dyDescent="0.3">
      <c r="A131" s="126"/>
      <c r="B131" s="241" t="s">
        <v>1111</v>
      </c>
      <c r="C131" s="241" t="s">
        <v>1123</v>
      </c>
      <c r="D131" s="242" t="s">
        <v>630</v>
      </c>
      <c r="E131" s="242"/>
      <c r="F131" s="242"/>
      <c r="G131" s="242"/>
      <c r="H131" s="242"/>
      <c r="I131" s="242"/>
      <c r="J131" s="242"/>
      <c r="K131" s="117"/>
      <c r="L131" s="243" t="s">
        <v>1112</v>
      </c>
      <c r="M131" s="243"/>
      <c r="N131" s="243"/>
      <c r="O131" s="118"/>
      <c r="P131" s="126"/>
      <c r="Q131" s="126"/>
      <c r="R131" s="126"/>
      <c r="S131">
        <v>15184812</v>
      </c>
      <c r="T131">
        <v>1</v>
      </c>
      <c r="U131" t="str">
        <v>M</v>
      </c>
    </row>
    <row r="132" spans="1:21" ht="18.75" x14ac:dyDescent="0.3">
      <c r="A132" s="126"/>
      <c r="B132" s="241"/>
      <c r="C132" s="241"/>
      <c r="D132" s="242" t="s">
        <v>1113</v>
      </c>
      <c r="E132" s="242"/>
      <c r="F132" s="242"/>
      <c r="G132" s="117"/>
      <c r="H132" s="242" t="s">
        <v>1114</v>
      </c>
      <c r="I132" s="242"/>
      <c r="J132" s="242"/>
      <c r="K132" s="117"/>
      <c r="L132" s="243"/>
      <c r="M132" s="243"/>
      <c r="N132" s="243"/>
      <c r="O132" s="118"/>
      <c r="P132" s="126"/>
      <c r="Q132" s="126"/>
      <c r="R132" s="126"/>
      <c r="S132">
        <v>15333581</v>
      </c>
      <c r="T132">
        <v>1</v>
      </c>
      <c r="U132" t="str">
        <v>M</v>
      </c>
    </row>
    <row r="133" spans="1:21" ht="80.25" customHeight="1" x14ac:dyDescent="0.3">
      <c r="A133" s="126"/>
      <c r="B133" s="241"/>
      <c r="C133" s="241"/>
      <c r="D133" s="119" t="s">
        <v>1115</v>
      </c>
      <c r="E133" s="119" t="s">
        <v>1116</v>
      </c>
      <c r="F133" s="119" t="s">
        <v>1117</v>
      </c>
      <c r="G133" s="119"/>
      <c r="H133" s="119" t="s">
        <v>1115</v>
      </c>
      <c r="I133" s="119" t="s">
        <v>1116</v>
      </c>
      <c r="J133" s="119" t="s">
        <v>1117</v>
      </c>
      <c r="K133" s="119"/>
      <c r="L133" s="120" t="s">
        <v>1115</v>
      </c>
      <c r="M133" s="120" t="s">
        <v>1116</v>
      </c>
      <c r="N133" s="120" t="s">
        <v>1117</v>
      </c>
      <c r="O133" s="121"/>
      <c r="P133" s="126"/>
      <c r="Q133" s="126"/>
      <c r="R133" s="126"/>
      <c r="S133">
        <v>15349450</v>
      </c>
      <c r="T133">
        <v>1</v>
      </c>
      <c r="U133" t="str">
        <v>M</v>
      </c>
    </row>
    <row r="134" spans="1:21" ht="18.75" x14ac:dyDescent="0.3">
      <c r="A134" s="126"/>
      <c r="B134" s="122">
        <v>1</v>
      </c>
      <c r="C134" s="123" t="s">
        <v>275</v>
      </c>
      <c r="D134" s="122">
        <f t="shared" ref="D134:D148" si="11">I3</f>
        <v>49</v>
      </c>
      <c r="E134" s="122">
        <f t="shared" ref="E134:E148" si="12">I33</f>
        <v>16</v>
      </c>
      <c r="F134" s="122">
        <f t="shared" ref="F134:F148" si="13">I63</f>
        <v>40</v>
      </c>
      <c r="G134" s="122">
        <f>+D134+E134+F134</f>
        <v>105</v>
      </c>
      <c r="H134" s="122">
        <f t="shared" ref="H134:H148" si="14">I18</f>
        <v>105</v>
      </c>
      <c r="I134" s="122">
        <f t="shared" ref="I134:I148" si="15">I48</f>
        <v>34</v>
      </c>
      <c r="J134" s="122">
        <f t="shared" ref="J134:J148" si="16">I78</f>
        <v>78</v>
      </c>
      <c r="K134" s="122">
        <f>+H134+I134+J134</f>
        <v>217</v>
      </c>
      <c r="L134" s="122">
        <f>D134+H134</f>
        <v>154</v>
      </c>
      <c r="M134" s="122">
        <f>E134+I134</f>
        <v>50</v>
      </c>
      <c r="N134" s="122">
        <f>F134+J134</f>
        <v>118</v>
      </c>
      <c r="O134" s="122">
        <f>+L134+M134+N134</f>
        <v>322</v>
      </c>
      <c r="P134" s="126"/>
      <c r="Q134" s="126">
        <f>+O134+O135</f>
        <v>326</v>
      </c>
      <c r="R134" s="126"/>
      <c r="S134">
        <v>15354381</v>
      </c>
      <c r="T134">
        <v>1</v>
      </c>
      <c r="U134" t="str">
        <v>H</v>
      </c>
    </row>
    <row r="135" spans="1:21" ht="18.75" x14ac:dyDescent="0.3">
      <c r="A135" s="126"/>
      <c r="B135" s="122">
        <v>2</v>
      </c>
      <c r="C135" s="123" t="s">
        <v>276</v>
      </c>
      <c r="D135" s="122">
        <f t="shared" si="11"/>
        <v>1</v>
      </c>
      <c r="E135" s="122">
        <f t="shared" si="12"/>
        <v>0</v>
      </c>
      <c r="F135" s="122">
        <f t="shared" si="13"/>
        <v>0</v>
      </c>
      <c r="G135" s="122">
        <f t="shared" ref="G135:G148" si="17">+D135+E135+F135</f>
        <v>1</v>
      </c>
      <c r="H135" s="122">
        <f t="shared" si="14"/>
        <v>2</v>
      </c>
      <c r="I135" s="122">
        <f t="shared" si="15"/>
        <v>0</v>
      </c>
      <c r="J135" s="122">
        <f t="shared" si="16"/>
        <v>1</v>
      </c>
      <c r="K135" s="122">
        <f t="shared" ref="K135:K148" si="18">+H135+I135+J135</f>
        <v>3</v>
      </c>
      <c r="L135" s="122">
        <f t="shared" ref="L135:N148" si="19">D135+H135</f>
        <v>3</v>
      </c>
      <c r="M135" s="122">
        <f t="shared" si="19"/>
        <v>0</v>
      </c>
      <c r="N135" s="122">
        <f t="shared" si="19"/>
        <v>1</v>
      </c>
      <c r="O135" s="122">
        <f t="shared" ref="O135:O148" si="20">+L135+M135+N135</f>
        <v>4</v>
      </c>
      <c r="P135" s="126"/>
      <c r="Q135" s="126"/>
      <c r="R135" s="126"/>
      <c r="S135">
        <v>15375340</v>
      </c>
      <c r="T135">
        <v>4</v>
      </c>
      <c r="U135" t="str">
        <v>M</v>
      </c>
    </row>
    <row r="136" spans="1:21" ht="37.5" x14ac:dyDescent="0.3">
      <c r="A136" s="126"/>
      <c r="B136" s="122">
        <v>3</v>
      </c>
      <c r="C136" s="123" t="s">
        <v>1118</v>
      </c>
      <c r="D136" s="122">
        <f t="shared" si="11"/>
        <v>1</v>
      </c>
      <c r="E136" s="122">
        <f t="shared" si="12"/>
        <v>0</v>
      </c>
      <c r="F136" s="122">
        <f t="shared" si="13"/>
        <v>0</v>
      </c>
      <c r="G136" s="122">
        <f t="shared" si="17"/>
        <v>1</v>
      </c>
      <c r="H136" s="122">
        <f t="shared" si="14"/>
        <v>0</v>
      </c>
      <c r="I136" s="122">
        <f t="shared" si="15"/>
        <v>0</v>
      </c>
      <c r="J136" s="122">
        <f t="shared" si="16"/>
        <v>9</v>
      </c>
      <c r="K136" s="122">
        <f t="shared" si="18"/>
        <v>9</v>
      </c>
      <c r="L136" s="122">
        <f t="shared" si="19"/>
        <v>1</v>
      </c>
      <c r="M136" s="122">
        <f t="shared" si="19"/>
        <v>0</v>
      </c>
      <c r="N136" s="122">
        <f t="shared" si="19"/>
        <v>9</v>
      </c>
      <c r="O136" s="122">
        <f t="shared" si="20"/>
        <v>10</v>
      </c>
      <c r="P136" s="126"/>
      <c r="Q136" s="126"/>
      <c r="R136" s="126"/>
      <c r="S136">
        <v>15385426</v>
      </c>
      <c r="T136">
        <v>1</v>
      </c>
      <c r="U136" t="str">
        <v>M</v>
      </c>
    </row>
    <row r="137" spans="1:21" ht="37.5" x14ac:dyDescent="0.3">
      <c r="A137" s="126"/>
      <c r="B137" s="122">
        <v>4</v>
      </c>
      <c r="C137" s="123" t="s">
        <v>278</v>
      </c>
      <c r="D137" s="122">
        <f t="shared" si="11"/>
        <v>0</v>
      </c>
      <c r="E137" s="122">
        <f t="shared" si="12"/>
        <v>0</v>
      </c>
      <c r="F137" s="122">
        <f t="shared" si="13"/>
        <v>0</v>
      </c>
      <c r="G137" s="122">
        <f t="shared" si="17"/>
        <v>0</v>
      </c>
      <c r="H137" s="122">
        <f t="shared" si="14"/>
        <v>0</v>
      </c>
      <c r="I137" s="122">
        <f t="shared" si="15"/>
        <v>5</v>
      </c>
      <c r="J137" s="122">
        <f t="shared" si="16"/>
        <v>5</v>
      </c>
      <c r="K137" s="122">
        <f t="shared" si="18"/>
        <v>10</v>
      </c>
      <c r="L137" s="122">
        <f t="shared" si="19"/>
        <v>0</v>
      </c>
      <c r="M137" s="122">
        <f t="shared" si="19"/>
        <v>5</v>
      </c>
      <c r="N137" s="122">
        <f t="shared" si="19"/>
        <v>5</v>
      </c>
      <c r="O137" s="122">
        <f t="shared" si="20"/>
        <v>10</v>
      </c>
      <c r="P137" s="126"/>
      <c r="Q137" s="126"/>
      <c r="R137" s="126"/>
      <c r="S137">
        <v>15419934</v>
      </c>
      <c r="T137">
        <v>1</v>
      </c>
      <c r="U137" t="str">
        <v>H</v>
      </c>
    </row>
    <row r="138" spans="1:21" ht="56.25" x14ac:dyDescent="0.3">
      <c r="A138" s="126"/>
      <c r="B138" s="122" t="s">
        <v>743</v>
      </c>
      <c r="C138" s="123" t="s">
        <v>742</v>
      </c>
      <c r="D138" s="122">
        <f t="shared" si="11"/>
        <v>0</v>
      </c>
      <c r="E138" s="122">
        <f t="shared" si="12"/>
        <v>0</v>
      </c>
      <c r="F138" s="122">
        <f t="shared" si="13"/>
        <v>0</v>
      </c>
      <c r="G138" s="122">
        <f t="shared" si="17"/>
        <v>0</v>
      </c>
      <c r="H138" s="122">
        <f t="shared" si="14"/>
        <v>0</v>
      </c>
      <c r="I138" s="122">
        <f t="shared" si="15"/>
        <v>0</v>
      </c>
      <c r="J138" s="122">
        <f t="shared" si="16"/>
        <v>0</v>
      </c>
      <c r="K138" s="122">
        <f t="shared" si="18"/>
        <v>0</v>
      </c>
      <c r="L138" s="122">
        <f t="shared" si="19"/>
        <v>0</v>
      </c>
      <c r="M138" s="122">
        <f t="shared" si="19"/>
        <v>0</v>
      </c>
      <c r="N138" s="122">
        <f t="shared" si="19"/>
        <v>0</v>
      </c>
      <c r="O138" s="122">
        <f t="shared" si="20"/>
        <v>0</v>
      </c>
      <c r="P138" s="126"/>
      <c r="Q138" s="126">
        <f>+O138+O139</f>
        <v>0</v>
      </c>
      <c r="R138" s="126"/>
      <c r="S138">
        <v>15438971</v>
      </c>
      <c r="T138">
        <v>1</v>
      </c>
      <c r="U138" t="str">
        <v>M</v>
      </c>
    </row>
    <row r="139" spans="1:21" ht="112.5" x14ac:dyDescent="0.3">
      <c r="A139" s="126"/>
      <c r="B139" s="122" t="s">
        <v>745</v>
      </c>
      <c r="C139" s="123" t="s">
        <v>1119</v>
      </c>
      <c r="D139" s="122">
        <f t="shared" si="11"/>
        <v>0</v>
      </c>
      <c r="E139" s="122">
        <f t="shared" si="12"/>
        <v>0</v>
      </c>
      <c r="F139" s="122">
        <f t="shared" si="13"/>
        <v>0</v>
      </c>
      <c r="G139" s="122">
        <f t="shared" si="17"/>
        <v>0</v>
      </c>
      <c r="H139" s="122">
        <f t="shared" si="14"/>
        <v>0</v>
      </c>
      <c r="I139" s="122">
        <f t="shared" si="15"/>
        <v>0</v>
      </c>
      <c r="J139" s="122">
        <f t="shared" si="16"/>
        <v>0</v>
      </c>
      <c r="K139" s="122">
        <f t="shared" si="18"/>
        <v>0</v>
      </c>
      <c r="L139" s="122">
        <f t="shared" si="19"/>
        <v>0</v>
      </c>
      <c r="M139" s="122">
        <f t="shared" si="19"/>
        <v>0</v>
      </c>
      <c r="N139" s="122">
        <f t="shared" si="19"/>
        <v>0</v>
      </c>
      <c r="O139" s="122">
        <f t="shared" si="20"/>
        <v>0</v>
      </c>
      <c r="P139" s="126"/>
      <c r="Q139" s="126"/>
      <c r="R139" s="126"/>
      <c r="S139">
        <v>15478578</v>
      </c>
      <c r="T139">
        <v>2</v>
      </c>
      <c r="U139" t="str">
        <v>M</v>
      </c>
    </row>
    <row r="140" spans="1:21" ht="37.5" x14ac:dyDescent="0.3">
      <c r="A140" s="126"/>
      <c r="B140" s="122" t="s">
        <v>747</v>
      </c>
      <c r="C140" s="123" t="s">
        <v>746</v>
      </c>
      <c r="D140" s="122">
        <f t="shared" si="11"/>
        <v>0</v>
      </c>
      <c r="E140" s="122">
        <f t="shared" si="12"/>
        <v>0</v>
      </c>
      <c r="F140" s="122">
        <f t="shared" si="13"/>
        <v>0</v>
      </c>
      <c r="G140" s="122">
        <f t="shared" si="17"/>
        <v>0</v>
      </c>
      <c r="H140" s="122">
        <f t="shared" si="14"/>
        <v>0</v>
      </c>
      <c r="I140" s="122">
        <f t="shared" si="15"/>
        <v>0</v>
      </c>
      <c r="J140" s="122">
        <f t="shared" si="16"/>
        <v>0</v>
      </c>
      <c r="K140" s="122">
        <f t="shared" si="18"/>
        <v>0</v>
      </c>
      <c r="L140" s="122">
        <f t="shared" si="19"/>
        <v>0</v>
      </c>
      <c r="M140" s="122">
        <f t="shared" si="19"/>
        <v>0</v>
      </c>
      <c r="N140" s="122">
        <f t="shared" si="19"/>
        <v>0</v>
      </c>
      <c r="O140" s="122">
        <f t="shared" si="20"/>
        <v>0</v>
      </c>
      <c r="P140" s="126"/>
      <c r="Q140" s="126">
        <f>+O140+O141</f>
        <v>0</v>
      </c>
      <c r="R140" s="126"/>
      <c r="S140">
        <v>15491762</v>
      </c>
      <c r="T140">
        <v>1</v>
      </c>
      <c r="U140" t="str">
        <v>M</v>
      </c>
    </row>
    <row r="141" spans="1:21" ht="93.75" x14ac:dyDescent="0.3">
      <c r="A141" s="126"/>
      <c r="B141" s="122" t="s">
        <v>749</v>
      </c>
      <c r="C141" s="123" t="s">
        <v>1120</v>
      </c>
      <c r="D141" s="122">
        <f t="shared" si="11"/>
        <v>0</v>
      </c>
      <c r="E141" s="122">
        <f t="shared" si="12"/>
        <v>0</v>
      </c>
      <c r="F141" s="122">
        <f t="shared" si="13"/>
        <v>0</v>
      </c>
      <c r="G141" s="122">
        <f t="shared" si="17"/>
        <v>0</v>
      </c>
      <c r="H141" s="122">
        <f t="shared" si="14"/>
        <v>0</v>
      </c>
      <c r="I141" s="122">
        <f t="shared" si="15"/>
        <v>0</v>
      </c>
      <c r="J141" s="122">
        <f t="shared" si="16"/>
        <v>0</v>
      </c>
      <c r="K141" s="122">
        <f t="shared" si="18"/>
        <v>0</v>
      </c>
      <c r="L141" s="122">
        <f t="shared" si="19"/>
        <v>0</v>
      </c>
      <c r="M141" s="122">
        <f t="shared" si="19"/>
        <v>0</v>
      </c>
      <c r="N141" s="122">
        <f t="shared" si="19"/>
        <v>0</v>
      </c>
      <c r="O141" s="122">
        <f t="shared" si="20"/>
        <v>0</v>
      </c>
      <c r="P141" s="126"/>
      <c r="Q141" s="126"/>
      <c r="R141" s="126"/>
      <c r="S141">
        <v>15589312</v>
      </c>
      <c r="T141">
        <v>1</v>
      </c>
      <c r="U141" t="str">
        <v>M</v>
      </c>
    </row>
    <row r="142" spans="1:21" ht="18.75" x14ac:dyDescent="0.3">
      <c r="A142" s="126"/>
      <c r="B142" s="122">
        <v>7</v>
      </c>
      <c r="C142" s="123" t="s">
        <v>279</v>
      </c>
      <c r="D142" s="122">
        <f t="shared" si="11"/>
        <v>0</v>
      </c>
      <c r="E142" s="122">
        <f t="shared" si="12"/>
        <v>0</v>
      </c>
      <c r="F142" s="122">
        <f t="shared" si="13"/>
        <v>0</v>
      </c>
      <c r="G142" s="122">
        <f t="shared" si="17"/>
        <v>0</v>
      </c>
      <c r="H142" s="122">
        <f t="shared" si="14"/>
        <v>0</v>
      </c>
      <c r="I142" s="122">
        <f t="shared" si="15"/>
        <v>1</v>
      </c>
      <c r="J142" s="122">
        <f t="shared" si="16"/>
        <v>3</v>
      </c>
      <c r="K142" s="122">
        <f t="shared" si="18"/>
        <v>4</v>
      </c>
      <c r="L142" s="122">
        <f t="shared" si="19"/>
        <v>0</v>
      </c>
      <c r="M142" s="122">
        <f t="shared" si="19"/>
        <v>1</v>
      </c>
      <c r="N142" s="122">
        <f t="shared" si="19"/>
        <v>3</v>
      </c>
      <c r="O142" s="122">
        <f t="shared" si="20"/>
        <v>4</v>
      </c>
      <c r="P142" s="126"/>
      <c r="Q142" s="126"/>
      <c r="R142" s="126"/>
      <c r="S142">
        <v>15598669</v>
      </c>
      <c r="T142">
        <v>1</v>
      </c>
      <c r="U142" t="str">
        <v>H</v>
      </c>
    </row>
    <row r="143" spans="1:21" ht="18.75" x14ac:dyDescent="0.3">
      <c r="A143" s="126"/>
      <c r="B143" s="122">
        <v>8</v>
      </c>
      <c r="C143" s="123" t="s">
        <v>750</v>
      </c>
      <c r="D143" s="122">
        <f t="shared" si="11"/>
        <v>0</v>
      </c>
      <c r="E143" s="122">
        <f t="shared" si="12"/>
        <v>0</v>
      </c>
      <c r="F143" s="122">
        <f t="shared" si="13"/>
        <v>0</v>
      </c>
      <c r="G143" s="122">
        <f t="shared" si="17"/>
        <v>0</v>
      </c>
      <c r="H143" s="122">
        <f t="shared" si="14"/>
        <v>0</v>
      </c>
      <c r="I143" s="122">
        <f t="shared" si="15"/>
        <v>0</v>
      </c>
      <c r="J143" s="122">
        <f t="shared" si="16"/>
        <v>0</v>
      </c>
      <c r="K143" s="122">
        <f t="shared" si="18"/>
        <v>0</v>
      </c>
      <c r="L143" s="122">
        <f t="shared" si="19"/>
        <v>0</v>
      </c>
      <c r="M143" s="122">
        <f t="shared" si="19"/>
        <v>0</v>
      </c>
      <c r="N143" s="122">
        <f t="shared" si="19"/>
        <v>0</v>
      </c>
      <c r="O143" s="122">
        <f t="shared" si="20"/>
        <v>0</v>
      </c>
      <c r="P143" s="126"/>
      <c r="Q143" s="126"/>
      <c r="R143" s="126"/>
      <c r="S143">
        <v>15603921</v>
      </c>
      <c r="T143">
        <v>2</v>
      </c>
      <c r="U143" t="str">
        <v>M</v>
      </c>
    </row>
    <row r="144" spans="1:21" ht="18.75" x14ac:dyDescent="0.3">
      <c r="A144" s="126"/>
      <c r="B144" s="122">
        <v>9</v>
      </c>
      <c r="C144" s="123" t="s">
        <v>715</v>
      </c>
      <c r="D144" s="122">
        <f t="shared" si="11"/>
        <v>0</v>
      </c>
      <c r="E144" s="122">
        <f t="shared" si="12"/>
        <v>0</v>
      </c>
      <c r="F144" s="122">
        <f t="shared" si="13"/>
        <v>0</v>
      </c>
      <c r="G144" s="122">
        <f t="shared" si="17"/>
        <v>0</v>
      </c>
      <c r="H144" s="122">
        <f t="shared" si="14"/>
        <v>0</v>
      </c>
      <c r="I144" s="122">
        <f t="shared" si="15"/>
        <v>0</v>
      </c>
      <c r="J144" s="122">
        <f t="shared" si="16"/>
        <v>0</v>
      </c>
      <c r="K144" s="122">
        <f t="shared" si="18"/>
        <v>0</v>
      </c>
      <c r="L144" s="122">
        <f t="shared" si="19"/>
        <v>0</v>
      </c>
      <c r="M144" s="122">
        <f t="shared" si="19"/>
        <v>0</v>
      </c>
      <c r="N144" s="122">
        <f t="shared" si="19"/>
        <v>0</v>
      </c>
      <c r="O144" s="122">
        <f t="shared" si="20"/>
        <v>0</v>
      </c>
      <c r="P144" s="126"/>
      <c r="Q144" s="126"/>
      <c r="R144" s="126"/>
      <c r="S144">
        <v>15634479</v>
      </c>
      <c r="T144">
        <v>1</v>
      </c>
      <c r="U144" t="str">
        <v>H</v>
      </c>
    </row>
    <row r="145" spans="1:21" ht="18.75" x14ac:dyDescent="0.3">
      <c r="A145" s="126"/>
      <c r="B145" s="122">
        <v>10</v>
      </c>
      <c r="C145" s="123" t="s">
        <v>716</v>
      </c>
      <c r="D145" s="122">
        <f t="shared" si="11"/>
        <v>0</v>
      </c>
      <c r="E145" s="122">
        <f t="shared" si="12"/>
        <v>0</v>
      </c>
      <c r="F145" s="122">
        <f t="shared" si="13"/>
        <v>0</v>
      </c>
      <c r="G145" s="122">
        <f t="shared" si="17"/>
        <v>0</v>
      </c>
      <c r="H145" s="122">
        <f t="shared" si="14"/>
        <v>0</v>
      </c>
      <c r="I145" s="122">
        <f t="shared" si="15"/>
        <v>0</v>
      </c>
      <c r="J145" s="122">
        <f t="shared" si="16"/>
        <v>0</v>
      </c>
      <c r="K145" s="122">
        <f t="shared" si="18"/>
        <v>0</v>
      </c>
      <c r="L145" s="122">
        <f t="shared" si="19"/>
        <v>0</v>
      </c>
      <c r="M145" s="122">
        <f t="shared" si="19"/>
        <v>0</v>
      </c>
      <c r="N145" s="122">
        <f t="shared" si="19"/>
        <v>0</v>
      </c>
      <c r="O145" s="122">
        <f t="shared" si="20"/>
        <v>0</v>
      </c>
      <c r="P145" s="126"/>
      <c r="Q145" s="126"/>
      <c r="R145" s="126"/>
      <c r="S145">
        <v>15642135</v>
      </c>
      <c r="T145">
        <v>2</v>
      </c>
      <c r="U145" t="str">
        <v>M</v>
      </c>
    </row>
    <row r="146" spans="1:21" ht="18.75" x14ac:dyDescent="0.3">
      <c r="A146" s="126"/>
      <c r="B146" s="122">
        <v>11</v>
      </c>
      <c r="C146" s="123" t="s">
        <v>717</v>
      </c>
      <c r="D146" s="122">
        <f t="shared" si="11"/>
        <v>0</v>
      </c>
      <c r="E146" s="122">
        <f t="shared" si="12"/>
        <v>0</v>
      </c>
      <c r="F146" s="122">
        <f t="shared" si="13"/>
        <v>0</v>
      </c>
      <c r="G146" s="122">
        <f t="shared" si="17"/>
        <v>0</v>
      </c>
      <c r="H146" s="122">
        <f t="shared" si="14"/>
        <v>0</v>
      </c>
      <c r="I146" s="122">
        <f t="shared" si="15"/>
        <v>0</v>
      </c>
      <c r="J146" s="122">
        <f t="shared" si="16"/>
        <v>0</v>
      </c>
      <c r="K146" s="122">
        <f t="shared" si="18"/>
        <v>0</v>
      </c>
      <c r="L146" s="122">
        <f t="shared" si="19"/>
        <v>0</v>
      </c>
      <c r="M146" s="122">
        <f t="shared" si="19"/>
        <v>0</v>
      </c>
      <c r="N146" s="122">
        <f t="shared" si="19"/>
        <v>0</v>
      </c>
      <c r="O146" s="122">
        <f t="shared" si="20"/>
        <v>0</v>
      </c>
      <c r="P146" s="126"/>
      <c r="Q146" s="126"/>
      <c r="R146" s="126"/>
      <c r="S146">
        <v>15657849</v>
      </c>
      <c r="T146">
        <v>1</v>
      </c>
      <c r="U146" t="str">
        <v>M</v>
      </c>
    </row>
    <row r="147" spans="1:21" ht="18.75" x14ac:dyDescent="0.3">
      <c r="A147" s="126"/>
      <c r="B147" s="122">
        <v>12</v>
      </c>
      <c r="C147" s="123" t="s">
        <v>718</v>
      </c>
      <c r="D147" s="122">
        <f t="shared" si="11"/>
        <v>0</v>
      </c>
      <c r="E147" s="122">
        <f t="shared" si="12"/>
        <v>0</v>
      </c>
      <c r="F147" s="122">
        <f t="shared" si="13"/>
        <v>0</v>
      </c>
      <c r="G147" s="122">
        <f t="shared" si="17"/>
        <v>0</v>
      </c>
      <c r="H147" s="122">
        <f t="shared" si="14"/>
        <v>0</v>
      </c>
      <c r="I147" s="122">
        <f t="shared" si="15"/>
        <v>0</v>
      </c>
      <c r="J147" s="122">
        <f t="shared" si="16"/>
        <v>0</v>
      </c>
      <c r="K147" s="122">
        <f t="shared" si="18"/>
        <v>0</v>
      </c>
      <c r="L147" s="122">
        <f t="shared" si="19"/>
        <v>0</v>
      </c>
      <c r="M147" s="122">
        <f t="shared" si="19"/>
        <v>0</v>
      </c>
      <c r="N147" s="122">
        <f t="shared" si="19"/>
        <v>0</v>
      </c>
      <c r="O147" s="122">
        <f t="shared" si="20"/>
        <v>0</v>
      </c>
      <c r="P147" s="126"/>
      <c r="Q147" s="126"/>
      <c r="R147" s="126"/>
      <c r="S147">
        <v>15664863</v>
      </c>
      <c r="T147">
        <v>3</v>
      </c>
      <c r="U147" t="str">
        <v>M</v>
      </c>
    </row>
    <row r="148" spans="1:21" ht="93.75" x14ac:dyDescent="0.3">
      <c r="A148" s="126"/>
      <c r="B148" s="122">
        <v>13</v>
      </c>
      <c r="C148" s="123" t="s">
        <v>1121</v>
      </c>
      <c r="D148" s="122">
        <f t="shared" si="11"/>
        <v>0</v>
      </c>
      <c r="E148" s="122">
        <f t="shared" si="12"/>
        <v>0</v>
      </c>
      <c r="F148" s="122">
        <f t="shared" si="13"/>
        <v>0</v>
      </c>
      <c r="G148" s="122">
        <f t="shared" si="17"/>
        <v>0</v>
      </c>
      <c r="H148" s="122">
        <f t="shared" si="14"/>
        <v>0</v>
      </c>
      <c r="I148" s="122">
        <f t="shared" si="15"/>
        <v>0</v>
      </c>
      <c r="J148" s="122">
        <f t="shared" si="16"/>
        <v>0</v>
      </c>
      <c r="K148" s="122">
        <f t="shared" si="18"/>
        <v>0</v>
      </c>
      <c r="L148" s="122">
        <f t="shared" si="19"/>
        <v>0</v>
      </c>
      <c r="M148" s="122">
        <f t="shared" si="19"/>
        <v>0</v>
      </c>
      <c r="N148" s="122">
        <f t="shared" si="19"/>
        <v>0</v>
      </c>
      <c r="O148" s="122">
        <f t="shared" si="20"/>
        <v>0</v>
      </c>
      <c r="P148" s="126"/>
      <c r="Q148" s="126"/>
      <c r="R148" s="126"/>
      <c r="S148">
        <v>15753474</v>
      </c>
      <c r="T148">
        <v>1</v>
      </c>
      <c r="U148" t="str">
        <v>H</v>
      </c>
    </row>
    <row r="149" spans="1:21" ht="18.75" x14ac:dyDescent="0.3">
      <c r="A149" s="126"/>
      <c r="B149" s="235" t="s">
        <v>1112</v>
      </c>
      <c r="C149" s="236"/>
      <c r="D149" s="127">
        <f>SUM(D134:D148)</f>
        <v>51</v>
      </c>
      <c r="E149" s="127">
        <f t="shared" ref="E149:O149" si="21">SUM(E134:E148)</f>
        <v>16</v>
      </c>
      <c r="F149" s="127">
        <f t="shared" si="21"/>
        <v>40</v>
      </c>
      <c r="G149" s="127">
        <f t="shared" si="21"/>
        <v>107</v>
      </c>
      <c r="H149" s="127">
        <f t="shared" si="21"/>
        <v>107</v>
      </c>
      <c r="I149" s="127">
        <f t="shared" si="21"/>
        <v>40</v>
      </c>
      <c r="J149" s="127">
        <f t="shared" si="21"/>
        <v>96</v>
      </c>
      <c r="K149" s="127">
        <f t="shared" si="21"/>
        <v>243</v>
      </c>
      <c r="L149" s="127">
        <f t="shared" si="21"/>
        <v>158</v>
      </c>
      <c r="M149" s="127">
        <f t="shared" si="21"/>
        <v>56</v>
      </c>
      <c r="N149" s="127">
        <f t="shared" si="21"/>
        <v>136</v>
      </c>
      <c r="O149" s="127">
        <f t="shared" si="21"/>
        <v>350</v>
      </c>
      <c r="P149" s="128"/>
      <c r="Q149" s="126"/>
      <c r="R149" s="126"/>
      <c r="S149">
        <v>15762639</v>
      </c>
      <c r="T149">
        <v>1</v>
      </c>
      <c r="U149" t="str">
        <v>M</v>
      </c>
    </row>
    <row r="150" spans="1:21" ht="18.75" x14ac:dyDescent="0.3">
      <c r="A150" s="126"/>
      <c r="B150" s="126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26"/>
      <c r="Q150" s="126"/>
      <c r="R150" s="126"/>
      <c r="S150">
        <v>15763722</v>
      </c>
      <c r="T150">
        <v>1</v>
      </c>
      <c r="U150" t="str">
        <v>M</v>
      </c>
    </row>
    <row r="151" spans="1:21" ht="18.75" x14ac:dyDescent="0.3">
      <c r="A151" s="115"/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>
        <v>15801733</v>
      </c>
      <c r="T151">
        <v>1</v>
      </c>
      <c r="U151" t="str">
        <v>M</v>
      </c>
    </row>
    <row r="152" spans="1:21" ht="18.75" x14ac:dyDescent="0.3">
      <c r="A152" s="115"/>
      <c r="B152" s="115"/>
      <c r="C152" s="237" t="s">
        <v>1124</v>
      </c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116"/>
      <c r="P152" s="115"/>
      <c r="Q152" s="115"/>
      <c r="R152" s="115"/>
      <c r="S152">
        <v>15804728</v>
      </c>
      <c r="T152">
        <v>1</v>
      </c>
      <c r="U152" t="str">
        <v>M</v>
      </c>
    </row>
    <row r="153" spans="1:21" ht="18.75" x14ac:dyDescent="0.3">
      <c r="A153" s="126"/>
      <c r="B153" s="126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26"/>
      <c r="Q153" s="126"/>
      <c r="R153" s="126"/>
      <c r="S153">
        <v>15827944</v>
      </c>
      <c r="T153">
        <v>1</v>
      </c>
      <c r="U153" t="str">
        <v>H</v>
      </c>
    </row>
    <row r="154" spans="1:21" ht="18.75" x14ac:dyDescent="0.3">
      <c r="A154" s="126"/>
      <c r="B154" s="241" t="s">
        <v>1111</v>
      </c>
      <c r="C154" s="241" t="s">
        <v>1123</v>
      </c>
      <c r="D154" s="242" t="s">
        <v>630</v>
      </c>
      <c r="E154" s="242"/>
      <c r="F154" s="242"/>
      <c r="G154" s="242"/>
      <c r="H154" s="242"/>
      <c r="I154" s="242"/>
      <c r="J154" s="242"/>
      <c r="K154" s="117"/>
      <c r="L154" s="243" t="s">
        <v>1112</v>
      </c>
      <c r="M154" s="243"/>
      <c r="N154" s="243"/>
      <c r="O154" s="118"/>
      <c r="P154" s="126"/>
      <c r="Q154" s="126"/>
      <c r="R154" s="126"/>
      <c r="S154">
        <v>15893962</v>
      </c>
      <c r="T154">
        <v>2</v>
      </c>
      <c r="U154" t="str">
        <v>M</v>
      </c>
    </row>
    <row r="155" spans="1:21" ht="18.75" x14ac:dyDescent="0.3">
      <c r="A155" s="126"/>
      <c r="B155" s="241"/>
      <c r="C155" s="241"/>
      <c r="D155" s="242" t="s">
        <v>1113</v>
      </c>
      <c r="E155" s="242"/>
      <c r="F155" s="242"/>
      <c r="G155" s="117"/>
      <c r="H155" s="242" t="s">
        <v>1114</v>
      </c>
      <c r="I155" s="242"/>
      <c r="J155" s="242"/>
      <c r="K155" s="117"/>
      <c r="L155" s="243"/>
      <c r="M155" s="243"/>
      <c r="N155" s="243"/>
      <c r="O155" s="118"/>
      <c r="P155" s="126"/>
      <c r="Q155" s="126"/>
      <c r="R155" s="126"/>
      <c r="S155">
        <v>15925432</v>
      </c>
      <c r="T155">
        <v>0</v>
      </c>
      <c r="U155" t="str">
        <v>n</v>
      </c>
    </row>
    <row r="156" spans="1:21" ht="80.25" customHeight="1" x14ac:dyDescent="0.3">
      <c r="A156" s="126"/>
      <c r="B156" s="241"/>
      <c r="C156" s="241"/>
      <c r="D156" s="119" t="s">
        <v>1115</v>
      </c>
      <c r="E156" s="119" t="s">
        <v>1116</v>
      </c>
      <c r="F156" s="119" t="s">
        <v>1117</v>
      </c>
      <c r="G156" s="119"/>
      <c r="H156" s="119" t="s">
        <v>1115</v>
      </c>
      <c r="I156" s="119" t="s">
        <v>1116</v>
      </c>
      <c r="J156" s="119" t="s">
        <v>1117</v>
      </c>
      <c r="K156" s="119"/>
      <c r="L156" s="120" t="s">
        <v>1115</v>
      </c>
      <c r="M156" s="120" t="s">
        <v>1116</v>
      </c>
      <c r="N156" s="120" t="s">
        <v>1117</v>
      </c>
      <c r="O156" s="121"/>
      <c r="P156" s="126"/>
      <c r="Q156" s="126"/>
      <c r="R156" s="126"/>
      <c r="S156">
        <v>15929926</v>
      </c>
      <c r="T156">
        <v>1</v>
      </c>
      <c r="U156" t="str">
        <v>M</v>
      </c>
    </row>
    <row r="157" spans="1:21" ht="18.75" x14ac:dyDescent="0.3">
      <c r="A157" s="126"/>
      <c r="B157" s="122">
        <v>1</v>
      </c>
      <c r="C157" s="123" t="s">
        <v>275</v>
      </c>
      <c r="D157" s="122">
        <f>K3</f>
        <v>49</v>
      </c>
      <c r="E157" s="122">
        <f>K33</f>
        <v>16</v>
      </c>
      <c r="F157" s="122">
        <f>K63</f>
        <v>40</v>
      </c>
      <c r="G157" s="122"/>
      <c r="H157" s="122">
        <f>K18</f>
        <v>103</v>
      </c>
      <c r="I157" s="122">
        <f>K48</f>
        <v>34</v>
      </c>
      <c r="J157" s="122">
        <f>K78</f>
        <v>77</v>
      </c>
      <c r="K157" s="122"/>
      <c r="L157" s="122">
        <f>D157+H157</f>
        <v>152</v>
      </c>
      <c r="M157" s="122">
        <f>E157+I157</f>
        <v>50</v>
      </c>
      <c r="N157" s="122">
        <f>F157+J157</f>
        <v>117</v>
      </c>
      <c r="O157" s="124"/>
      <c r="P157" s="126"/>
      <c r="Q157" s="126"/>
      <c r="R157" s="126"/>
      <c r="S157">
        <v>15952148</v>
      </c>
      <c r="T157">
        <v>1</v>
      </c>
      <c r="U157" t="str">
        <v>M</v>
      </c>
    </row>
    <row r="158" spans="1:21" ht="18.75" x14ac:dyDescent="0.3">
      <c r="A158" s="126"/>
      <c r="B158" s="122">
        <v>2</v>
      </c>
      <c r="C158" s="123" t="s">
        <v>276</v>
      </c>
      <c r="D158" s="122">
        <f t="shared" ref="D158:D171" si="22">K4</f>
        <v>1</v>
      </c>
      <c r="E158" s="122">
        <f t="shared" ref="E158:E171" si="23">K34</f>
        <v>0</v>
      </c>
      <c r="F158" s="122">
        <f t="shared" ref="F158:F171" si="24">K64</f>
        <v>0</v>
      </c>
      <c r="G158" s="122"/>
      <c r="H158" s="122">
        <f t="shared" ref="H158:H171" si="25">K19</f>
        <v>2</v>
      </c>
      <c r="I158" s="122">
        <f t="shared" ref="I158:I171" si="26">K49</f>
        <v>0</v>
      </c>
      <c r="J158" s="122">
        <f t="shared" ref="J158:J171" si="27">K79</f>
        <v>1</v>
      </c>
      <c r="K158" s="122"/>
      <c r="L158" s="122">
        <f t="shared" ref="L158:N171" si="28">D158+H158</f>
        <v>3</v>
      </c>
      <c r="M158" s="122">
        <f t="shared" si="28"/>
        <v>0</v>
      </c>
      <c r="N158" s="122">
        <f t="shared" si="28"/>
        <v>1</v>
      </c>
      <c r="O158" s="124"/>
      <c r="P158" s="126"/>
      <c r="Q158" s="126"/>
      <c r="R158" s="126"/>
      <c r="S158">
        <v>16081414</v>
      </c>
      <c r="T158">
        <v>1</v>
      </c>
      <c r="U158" t="str">
        <v>M</v>
      </c>
    </row>
    <row r="159" spans="1:21" ht="37.5" x14ac:dyDescent="0.3">
      <c r="A159" s="126"/>
      <c r="B159" s="122">
        <v>3</v>
      </c>
      <c r="C159" s="123" t="s">
        <v>1118</v>
      </c>
      <c r="D159" s="122">
        <f t="shared" si="22"/>
        <v>1</v>
      </c>
      <c r="E159" s="122">
        <f t="shared" si="23"/>
        <v>0</v>
      </c>
      <c r="F159" s="122">
        <f t="shared" si="24"/>
        <v>0</v>
      </c>
      <c r="G159" s="122"/>
      <c r="H159" s="122">
        <f t="shared" si="25"/>
        <v>0</v>
      </c>
      <c r="I159" s="122">
        <f t="shared" si="26"/>
        <v>0</v>
      </c>
      <c r="J159" s="122">
        <f t="shared" si="27"/>
        <v>9</v>
      </c>
      <c r="K159" s="122"/>
      <c r="L159" s="122">
        <f t="shared" si="28"/>
        <v>1</v>
      </c>
      <c r="M159" s="122">
        <f t="shared" si="28"/>
        <v>0</v>
      </c>
      <c r="N159" s="122">
        <f t="shared" si="28"/>
        <v>9</v>
      </c>
      <c r="O159" s="124"/>
      <c r="P159" s="126"/>
      <c r="Q159" s="126"/>
      <c r="R159" s="126"/>
      <c r="S159">
        <v>16094298</v>
      </c>
      <c r="T159">
        <v>1</v>
      </c>
      <c r="U159" t="str">
        <v>H</v>
      </c>
    </row>
    <row r="160" spans="1:21" ht="37.5" x14ac:dyDescent="0.3">
      <c r="A160" s="126"/>
      <c r="B160" s="122">
        <v>4</v>
      </c>
      <c r="C160" s="123" t="s">
        <v>278</v>
      </c>
      <c r="D160" s="122">
        <f t="shared" si="22"/>
        <v>0</v>
      </c>
      <c r="E160" s="122">
        <f t="shared" si="23"/>
        <v>0</v>
      </c>
      <c r="F160" s="122">
        <f t="shared" si="24"/>
        <v>0</v>
      </c>
      <c r="G160" s="122"/>
      <c r="H160" s="122">
        <f t="shared" si="25"/>
        <v>0</v>
      </c>
      <c r="I160" s="122">
        <f t="shared" si="26"/>
        <v>5</v>
      </c>
      <c r="J160" s="122">
        <f t="shared" si="27"/>
        <v>5</v>
      </c>
      <c r="K160" s="122"/>
      <c r="L160" s="122">
        <f t="shared" si="28"/>
        <v>0</v>
      </c>
      <c r="M160" s="122">
        <f t="shared" si="28"/>
        <v>5</v>
      </c>
      <c r="N160" s="122">
        <f t="shared" si="28"/>
        <v>5</v>
      </c>
      <c r="O160" s="124"/>
      <c r="P160" s="126"/>
      <c r="Q160" s="126"/>
      <c r="R160" s="126"/>
      <c r="S160">
        <v>16128559</v>
      </c>
      <c r="T160">
        <v>2</v>
      </c>
      <c r="U160" t="str">
        <v>H</v>
      </c>
    </row>
    <row r="161" spans="1:21" ht="56.25" x14ac:dyDescent="0.3">
      <c r="A161" s="126"/>
      <c r="B161" s="122" t="s">
        <v>743</v>
      </c>
      <c r="C161" s="123" t="s">
        <v>742</v>
      </c>
      <c r="D161" s="122">
        <f t="shared" si="22"/>
        <v>0</v>
      </c>
      <c r="E161" s="122">
        <f t="shared" si="23"/>
        <v>0</v>
      </c>
      <c r="F161" s="122">
        <f t="shared" si="24"/>
        <v>0</v>
      </c>
      <c r="G161" s="122"/>
      <c r="H161" s="122">
        <f t="shared" si="25"/>
        <v>0</v>
      </c>
      <c r="I161" s="122">
        <f t="shared" si="26"/>
        <v>0</v>
      </c>
      <c r="J161" s="122">
        <f t="shared" si="27"/>
        <v>0</v>
      </c>
      <c r="K161" s="122"/>
      <c r="L161" s="122">
        <f t="shared" si="28"/>
        <v>0</v>
      </c>
      <c r="M161" s="122">
        <f t="shared" si="28"/>
        <v>0</v>
      </c>
      <c r="N161" s="122">
        <f t="shared" si="28"/>
        <v>0</v>
      </c>
      <c r="O161" s="124"/>
      <c r="P161" s="126"/>
      <c r="Q161" s="126"/>
      <c r="R161" s="126"/>
      <c r="S161">
        <v>16144158</v>
      </c>
      <c r="T161">
        <v>1</v>
      </c>
      <c r="U161" t="str">
        <v>M</v>
      </c>
    </row>
    <row r="162" spans="1:21" ht="112.5" x14ac:dyDescent="0.3">
      <c r="A162" s="126"/>
      <c r="B162" s="122" t="s">
        <v>745</v>
      </c>
      <c r="C162" s="123" t="s">
        <v>1119</v>
      </c>
      <c r="D162" s="122">
        <f t="shared" si="22"/>
        <v>0</v>
      </c>
      <c r="E162" s="122">
        <f t="shared" si="23"/>
        <v>0</v>
      </c>
      <c r="F162" s="122">
        <f t="shared" si="24"/>
        <v>0</v>
      </c>
      <c r="G162" s="122"/>
      <c r="H162" s="122">
        <f t="shared" si="25"/>
        <v>0</v>
      </c>
      <c r="I162" s="122">
        <f t="shared" si="26"/>
        <v>0</v>
      </c>
      <c r="J162" s="122">
        <f t="shared" si="27"/>
        <v>0</v>
      </c>
      <c r="K162" s="122"/>
      <c r="L162" s="122">
        <f t="shared" si="28"/>
        <v>0</v>
      </c>
      <c r="M162" s="122">
        <f t="shared" si="28"/>
        <v>0</v>
      </c>
      <c r="N162" s="122">
        <f t="shared" si="28"/>
        <v>0</v>
      </c>
      <c r="O162" s="124"/>
      <c r="P162" s="126"/>
      <c r="Q162" s="126"/>
      <c r="R162" s="126"/>
      <c r="S162">
        <v>16169813</v>
      </c>
      <c r="T162">
        <v>1</v>
      </c>
      <c r="U162" t="str">
        <v>H</v>
      </c>
    </row>
    <row r="163" spans="1:21" ht="37.5" x14ac:dyDescent="0.3">
      <c r="A163" s="126"/>
      <c r="B163" s="122" t="s">
        <v>747</v>
      </c>
      <c r="C163" s="123" t="s">
        <v>746</v>
      </c>
      <c r="D163" s="122">
        <f t="shared" si="22"/>
        <v>0</v>
      </c>
      <c r="E163" s="122">
        <f t="shared" si="23"/>
        <v>0</v>
      </c>
      <c r="F163" s="122">
        <f t="shared" si="24"/>
        <v>0</v>
      </c>
      <c r="G163" s="122"/>
      <c r="H163" s="122">
        <f t="shared" si="25"/>
        <v>0</v>
      </c>
      <c r="I163" s="122">
        <f t="shared" si="26"/>
        <v>0</v>
      </c>
      <c r="J163" s="122">
        <f t="shared" si="27"/>
        <v>0</v>
      </c>
      <c r="K163" s="122"/>
      <c r="L163" s="122">
        <f t="shared" si="28"/>
        <v>0</v>
      </c>
      <c r="M163" s="122">
        <f t="shared" si="28"/>
        <v>0</v>
      </c>
      <c r="N163" s="122">
        <f t="shared" si="28"/>
        <v>0</v>
      </c>
      <c r="O163" s="124"/>
      <c r="P163" s="126"/>
      <c r="Q163" s="126"/>
      <c r="R163" s="126"/>
      <c r="S163">
        <v>16207956</v>
      </c>
      <c r="T163">
        <v>1</v>
      </c>
      <c r="U163" t="str">
        <v>H</v>
      </c>
    </row>
    <row r="164" spans="1:21" ht="93.75" x14ac:dyDescent="0.3">
      <c r="A164" s="126"/>
      <c r="B164" s="122" t="s">
        <v>749</v>
      </c>
      <c r="C164" s="123" t="s">
        <v>1120</v>
      </c>
      <c r="D164" s="122">
        <f t="shared" si="22"/>
        <v>0</v>
      </c>
      <c r="E164" s="122">
        <f t="shared" si="23"/>
        <v>0</v>
      </c>
      <c r="F164" s="122">
        <f t="shared" si="24"/>
        <v>0</v>
      </c>
      <c r="G164" s="122"/>
      <c r="H164" s="122">
        <f t="shared" si="25"/>
        <v>0</v>
      </c>
      <c r="I164" s="122">
        <f t="shared" si="26"/>
        <v>0</v>
      </c>
      <c r="J164" s="122">
        <f t="shared" si="27"/>
        <v>0</v>
      </c>
      <c r="K164" s="122"/>
      <c r="L164" s="122">
        <f t="shared" si="28"/>
        <v>0</v>
      </c>
      <c r="M164" s="122">
        <f t="shared" si="28"/>
        <v>0</v>
      </c>
      <c r="N164" s="122">
        <f t="shared" si="28"/>
        <v>0</v>
      </c>
      <c r="O164" s="124"/>
      <c r="P164" s="126"/>
      <c r="Q164" s="126"/>
      <c r="R164" s="126"/>
      <c r="S164">
        <v>16281137</v>
      </c>
      <c r="T164">
        <v>1</v>
      </c>
      <c r="U164" t="str">
        <v>H</v>
      </c>
    </row>
    <row r="165" spans="1:21" ht="18.75" x14ac:dyDescent="0.3">
      <c r="A165" s="126"/>
      <c r="B165" s="122">
        <v>7</v>
      </c>
      <c r="C165" s="123" t="s">
        <v>279</v>
      </c>
      <c r="D165" s="122">
        <f t="shared" si="22"/>
        <v>0</v>
      </c>
      <c r="E165" s="122">
        <f t="shared" si="23"/>
        <v>0</v>
      </c>
      <c r="F165" s="122">
        <f t="shared" si="24"/>
        <v>0</v>
      </c>
      <c r="G165" s="122"/>
      <c r="H165" s="122">
        <f t="shared" si="25"/>
        <v>0</v>
      </c>
      <c r="I165" s="122">
        <f t="shared" si="26"/>
        <v>1</v>
      </c>
      <c r="J165" s="122">
        <f t="shared" si="27"/>
        <v>3</v>
      </c>
      <c r="K165" s="122"/>
      <c r="L165" s="122">
        <f t="shared" si="28"/>
        <v>0</v>
      </c>
      <c r="M165" s="122">
        <f t="shared" si="28"/>
        <v>1</v>
      </c>
      <c r="N165" s="122">
        <f t="shared" si="28"/>
        <v>3</v>
      </c>
      <c r="O165" s="124"/>
      <c r="P165" s="126"/>
      <c r="Q165" s="126"/>
      <c r="R165" s="126"/>
      <c r="S165">
        <v>16339293</v>
      </c>
      <c r="T165">
        <v>3</v>
      </c>
      <c r="U165" t="str">
        <v>H</v>
      </c>
    </row>
    <row r="166" spans="1:21" ht="18.75" x14ac:dyDescent="0.3">
      <c r="A166" s="126"/>
      <c r="B166" s="122">
        <v>8</v>
      </c>
      <c r="C166" s="123" t="s">
        <v>750</v>
      </c>
      <c r="D166" s="122">
        <f t="shared" si="22"/>
        <v>0</v>
      </c>
      <c r="E166" s="122">
        <f t="shared" si="23"/>
        <v>0</v>
      </c>
      <c r="F166" s="122">
        <f t="shared" si="24"/>
        <v>0</v>
      </c>
      <c r="G166" s="122"/>
      <c r="H166" s="122">
        <f t="shared" si="25"/>
        <v>0</v>
      </c>
      <c r="I166" s="122">
        <f t="shared" si="26"/>
        <v>0</v>
      </c>
      <c r="J166" s="122">
        <f t="shared" si="27"/>
        <v>0</v>
      </c>
      <c r="K166" s="122"/>
      <c r="L166" s="122">
        <f t="shared" si="28"/>
        <v>0</v>
      </c>
      <c r="M166" s="122">
        <f t="shared" si="28"/>
        <v>0</v>
      </c>
      <c r="N166" s="122">
        <f t="shared" si="28"/>
        <v>0</v>
      </c>
      <c r="O166" s="124"/>
      <c r="P166" s="126"/>
      <c r="Q166" s="126"/>
      <c r="R166" s="126"/>
      <c r="S166">
        <v>16340776</v>
      </c>
      <c r="T166">
        <v>1</v>
      </c>
      <c r="U166" t="str">
        <v>M</v>
      </c>
    </row>
    <row r="167" spans="1:21" ht="18.75" x14ac:dyDescent="0.3">
      <c r="A167" s="126"/>
      <c r="B167" s="122">
        <v>9</v>
      </c>
      <c r="C167" s="123" t="s">
        <v>715</v>
      </c>
      <c r="D167" s="122">
        <f t="shared" si="22"/>
        <v>0</v>
      </c>
      <c r="E167" s="122">
        <f t="shared" si="23"/>
        <v>0</v>
      </c>
      <c r="F167" s="122">
        <f t="shared" si="24"/>
        <v>0</v>
      </c>
      <c r="G167" s="122"/>
      <c r="H167" s="122">
        <f t="shared" si="25"/>
        <v>0</v>
      </c>
      <c r="I167" s="122">
        <f t="shared" si="26"/>
        <v>0</v>
      </c>
      <c r="J167" s="122">
        <f t="shared" si="27"/>
        <v>0</v>
      </c>
      <c r="K167" s="122"/>
      <c r="L167" s="122">
        <f t="shared" si="28"/>
        <v>0</v>
      </c>
      <c r="M167" s="122">
        <f t="shared" si="28"/>
        <v>0</v>
      </c>
      <c r="N167" s="122">
        <f t="shared" si="28"/>
        <v>0</v>
      </c>
      <c r="O167" s="124"/>
      <c r="P167" s="126"/>
      <c r="Q167" s="126"/>
      <c r="R167" s="126"/>
      <c r="S167">
        <v>16366337</v>
      </c>
      <c r="T167">
        <v>1</v>
      </c>
      <c r="U167" t="str">
        <v>M</v>
      </c>
    </row>
    <row r="168" spans="1:21" ht="18.75" x14ac:dyDescent="0.3">
      <c r="A168" s="126"/>
      <c r="B168" s="122">
        <v>10</v>
      </c>
      <c r="C168" s="123" t="s">
        <v>716</v>
      </c>
      <c r="D168" s="122">
        <f t="shared" si="22"/>
        <v>0</v>
      </c>
      <c r="E168" s="122">
        <f t="shared" si="23"/>
        <v>0</v>
      </c>
      <c r="F168" s="122">
        <f t="shared" si="24"/>
        <v>0</v>
      </c>
      <c r="G168" s="122"/>
      <c r="H168" s="122">
        <f t="shared" si="25"/>
        <v>0</v>
      </c>
      <c r="I168" s="122">
        <f t="shared" si="26"/>
        <v>0</v>
      </c>
      <c r="J168" s="122">
        <f t="shared" si="27"/>
        <v>0</v>
      </c>
      <c r="K168" s="122"/>
      <c r="L168" s="122">
        <f t="shared" si="28"/>
        <v>0</v>
      </c>
      <c r="M168" s="122">
        <f t="shared" si="28"/>
        <v>0</v>
      </c>
      <c r="N168" s="122">
        <f t="shared" si="28"/>
        <v>0</v>
      </c>
      <c r="O168" s="124"/>
      <c r="P168" s="126"/>
      <c r="Q168" s="126"/>
      <c r="R168" s="126"/>
      <c r="S168">
        <v>16389083</v>
      </c>
      <c r="T168">
        <v>1</v>
      </c>
      <c r="U168" t="str">
        <v>H</v>
      </c>
    </row>
    <row r="169" spans="1:21" ht="18.75" x14ac:dyDescent="0.3">
      <c r="A169" s="126"/>
      <c r="B169" s="122">
        <v>11</v>
      </c>
      <c r="C169" s="123" t="s">
        <v>717</v>
      </c>
      <c r="D169" s="122">
        <f t="shared" si="22"/>
        <v>0</v>
      </c>
      <c r="E169" s="122">
        <f t="shared" si="23"/>
        <v>0</v>
      </c>
      <c r="F169" s="122">
        <f t="shared" si="24"/>
        <v>0</v>
      </c>
      <c r="G169" s="122"/>
      <c r="H169" s="122">
        <f t="shared" si="25"/>
        <v>0</v>
      </c>
      <c r="I169" s="122">
        <f t="shared" si="26"/>
        <v>0</v>
      </c>
      <c r="J169" s="122">
        <f t="shared" si="27"/>
        <v>0</v>
      </c>
      <c r="K169" s="122"/>
      <c r="L169" s="122">
        <f t="shared" si="28"/>
        <v>0</v>
      </c>
      <c r="M169" s="122">
        <f t="shared" si="28"/>
        <v>0</v>
      </c>
      <c r="N169" s="122">
        <f t="shared" si="28"/>
        <v>0</v>
      </c>
      <c r="O169" s="124"/>
      <c r="P169" s="126"/>
      <c r="Q169" s="126"/>
      <c r="R169" s="126"/>
      <c r="S169">
        <v>16471282</v>
      </c>
      <c r="T169">
        <v>1</v>
      </c>
      <c r="U169" t="str">
        <v>M</v>
      </c>
    </row>
    <row r="170" spans="1:21" ht="18.75" x14ac:dyDescent="0.3">
      <c r="A170" s="126"/>
      <c r="B170" s="122">
        <v>12</v>
      </c>
      <c r="C170" s="123" t="s">
        <v>718</v>
      </c>
      <c r="D170" s="122">
        <f t="shared" si="22"/>
        <v>0</v>
      </c>
      <c r="E170" s="122">
        <f t="shared" si="23"/>
        <v>0</v>
      </c>
      <c r="F170" s="122">
        <f t="shared" si="24"/>
        <v>0</v>
      </c>
      <c r="G170" s="122"/>
      <c r="H170" s="122">
        <f t="shared" si="25"/>
        <v>0</v>
      </c>
      <c r="I170" s="122">
        <f t="shared" si="26"/>
        <v>0</v>
      </c>
      <c r="J170" s="122">
        <f t="shared" si="27"/>
        <v>0</v>
      </c>
      <c r="K170" s="122"/>
      <c r="L170" s="122">
        <f t="shared" si="28"/>
        <v>0</v>
      </c>
      <c r="M170" s="122">
        <f t="shared" si="28"/>
        <v>0</v>
      </c>
      <c r="N170" s="122">
        <f t="shared" si="28"/>
        <v>0</v>
      </c>
      <c r="O170" s="124"/>
      <c r="P170" s="126"/>
      <c r="Q170" s="126"/>
      <c r="R170" s="126"/>
      <c r="S170">
        <v>16497142</v>
      </c>
      <c r="T170">
        <v>1</v>
      </c>
      <c r="U170" t="str">
        <v>H</v>
      </c>
    </row>
    <row r="171" spans="1:21" ht="93.75" x14ac:dyDescent="0.3">
      <c r="A171" s="126"/>
      <c r="B171" s="122">
        <v>13</v>
      </c>
      <c r="C171" s="123" t="s">
        <v>1121</v>
      </c>
      <c r="D171" s="122">
        <f t="shared" si="22"/>
        <v>0</v>
      </c>
      <c r="E171" s="122">
        <f t="shared" si="23"/>
        <v>0</v>
      </c>
      <c r="F171" s="122">
        <f t="shared" si="24"/>
        <v>0</v>
      </c>
      <c r="G171" s="122"/>
      <c r="H171" s="122">
        <f t="shared" si="25"/>
        <v>0</v>
      </c>
      <c r="I171" s="122">
        <f t="shared" si="26"/>
        <v>0</v>
      </c>
      <c r="J171" s="122">
        <f t="shared" si="27"/>
        <v>0</v>
      </c>
      <c r="K171" s="122"/>
      <c r="L171" s="122">
        <f t="shared" si="28"/>
        <v>0</v>
      </c>
      <c r="M171" s="122">
        <f t="shared" si="28"/>
        <v>0</v>
      </c>
      <c r="N171" s="122">
        <f t="shared" si="28"/>
        <v>0</v>
      </c>
      <c r="O171" s="124"/>
      <c r="P171" s="126"/>
      <c r="Q171" s="126"/>
      <c r="R171" s="126"/>
      <c r="S171">
        <v>16512648</v>
      </c>
      <c r="T171">
        <v>1</v>
      </c>
      <c r="U171" t="str">
        <v>H</v>
      </c>
    </row>
    <row r="172" spans="1:21" ht="18.75" x14ac:dyDescent="0.3">
      <c r="A172" s="126"/>
      <c r="B172" s="235" t="s">
        <v>1112</v>
      </c>
      <c r="C172" s="236"/>
      <c r="D172" s="127">
        <f>SUM(D157:D171)</f>
        <v>51</v>
      </c>
      <c r="E172" s="127">
        <f t="shared" ref="E172:F172" si="29">SUM(E157:E171)</f>
        <v>16</v>
      </c>
      <c r="F172" s="127">
        <f t="shared" si="29"/>
        <v>40</v>
      </c>
      <c r="G172" s="127"/>
      <c r="H172" s="127">
        <f t="shared" ref="H172:J172" si="30">SUM(H157:H171)</f>
        <v>105</v>
      </c>
      <c r="I172" s="127">
        <f t="shared" si="30"/>
        <v>40</v>
      </c>
      <c r="J172" s="127">
        <f t="shared" si="30"/>
        <v>95</v>
      </c>
      <c r="K172" s="127"/>
      <c r="L172" s="127">
        <f t="shared" ref="L172:N172" si="31">SUM(L157:L171)</f>
        <v>156</v>
      </c>
      <c r="M172" s="127">
        <f t="shared" si="31"/>
        <v>56</v>
      </c>
      <c r="N172" s="127">
        <f t="shared" si="31"/>
        <v>135</v>
      </c>
      <c r="O172" s="128"/>
      <c r="P172" s="128"/>
      <c r="Q172" s="126"/>
      <c r="R172" s="126"/>
      <c r="S172">
        <v>16513630</v>
      </c>
      <c r="T172">
        <v>2</v>
      </c>
      <c r="U172" t="str">
        <v>M</v>
      </c>
    </row>
    <row r="173" spans="1:21" ht="18.75" x14ac:dyDescent="0.3">
      <c r="A173" s="126"/>
      <c r="B173" s="126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26"/>
      <c r="Q173" s="126"/>
      <c r="R173" s="126"/>
      <c r="S173">
        <v>16514974</v>
      </c>
      <c r="T173">
        <v>2</v>
      </c>
      <c r="U173" t="str">
        <v>H</v>
      </c>
    </row>
    <row r="174" spans="1:21" ht="18.75" x14ac:dyDescent="0.3">
      <c r="B174"/>
      <c r="C174" s="237" t="s">
        <v>1125</v>
      </c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116"/>
      <c r="S174">
        <v>16532452</v>
      </c>
      <c r="T174">
        <v>2</v>
      </c>
      <c r="U174" t="str">
        <v>M</v>
      </c>
    </row>
    <row r="175" spans="1:21" ht="15.75" x14ac:dyDescent="0.25">
      <c r="A175" s="129"/>
      <c r="B175" s="129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29"/>
      <c r="Q175" s="129"/>
      <c r="S175">
        <v>16614791</v>
      </c>
      <c r="T175">
        <v>2</v>
      </c>
      <c r="U175" t="str">
        <v>M</v>
      </c>
    </row>
    <row r="176" spans="1:21" ht="15.75" x14ac:dyDescent="0.25">
      <c r="A176" s="129"/>
      <c r="B176" s="238" t="s">
        <v>1111</v>
      </c>
      <c r="C176" s="238" t="s">
        <v>1123</v>
      </c>
      <c r="D176" s="239" t="s">
        <v>630</v>
      </c>
      <c r="E176" s="239"/>
      <c r="F176" s="239"/>
      <c r="G176" s="239"/>
      <c r="H176" s="239"/>
      <c r="I176" s="239"/>
      <c r="J176" s="239"/>
      <c r="K176" s="131"/>
      <c r="L176" s="240" t="s">
        <v>1112</v>
      </c>
      <c r="M176" s="240"/>
      <c r="N176" s="240"/>
      <c r="O176" s="132"/>
      <c r="P176" s="129"/>
      <c r="Q176" s="129"/>
      <c r="S176">
        <v>16624463</v>
      </c>
      <c r="T176">
        <v>2</v>
      </c>
      <c r="U176" t="str">
        <v>M</v>
      </c>
    </row>
    <row r="177" spans="1:21" ht="15.75" x14ac:dyDescent="0.25">
      <c r="A177" s="129"/>
      <c r="B177" s="238"/>
      <c r="C177" s="238"/>
      <c r="D177" s="239" t="s">
        <v>1113</v>
      </c>
      <c r="E177" s="239"/>
      <c r="F177" s="239"/>
      <c r="G177" s="131"/>
      <c r="H177" s="239" t="s">
        <v>1114</v>
      </c>
      <c r="I177" s="239"/>
      <c r="J177" s="239"/>
      <c r="K177" s="131"/>
      <c r="L177" s="240"/>
      <c r="M177" s="240"/>
      <c r="N177" s="240"/>
      <c r="O177" s="132"/>
      <c r="P177" s="129"/>
      <c r="Q177" s="129"/>
      <c r="S177">
        <v>16660288</v>
      </c>
      <c r="T177">
        <v>2</v>
      </c>
      <c r="U177" t="str">
        <v>M</v>
      </c>
    </row>
    <row r="178" spans="1:21" ht="93" customHeight="1" x14ac:dyDescent="0.25">
      <c r="A178" s="129"/>
      <c r="B178" s="238"/>
      <c r="C178" s="238"/>
      <c r="D178" s="133" t="s">
        <v>1115</v>
      </c>
      <c r="E178" s="133" t="s">
        <v>1116</v>
      </c>
      <c r="F178" s="133" t="s">
        <v>1117</v>
      </c>
      <c r="G178" s="133"/>
      <c r="H178" s="133" t="s">
        <v>1115</v>
      </c>
      <c r="I178" s="133" t="s">
        <v>1116</v>
      </c>
      <c r="J178" s="133" t="s">
        <v>1117</v>
      </c>
      <c r="K178" s="133"/>
      <c r="L178" s="134" t="s">
        <v>1115</v>
      </c>
      <c r="M178" s="134" t="s">
        <v>1116</v>
      </c>
      <c r="N178" s="134" t="s">
        <v>1117</v>
      </c>
      <c r="O178" s="135"/>
      <c r="P178" s="129"/>
      <c r="Q178" s="129"/>
      <c r="S178">
        <v>16662030</v>
      </c>
      <c r="T178">
        <v>1</v>
      </c>
      <c r="U178" t="str">
        <v>H</v>
      </c>
    </row>
    <row r="179" spans="1:21" ht="15.75" x14ac:dyDescent="0.25">
      <c r="A179" s="129"/>
      <c r="B179" s="136">
        <v>1</v>
      </c>
      <c r="C179" s="137" t="s">
        <v>275</v>
      </c>
      <c r="D179" s="138">
        <f t="shared" ref="D179:D193" si="32">J3</f>
        <v>3650612</v>
      </c>
      <c r="E179" s="138">
        <f t="shared" ref="E179:E193" si="33">J33</f>
        <v>8827392</v>
      </c>
      <c r="F179" s="138">
        <f t="shared" ref="F179:F193" si="34">J63</f>
        <v>102564404</v>
      </c>
      <c r="G179" s="138"/>
      <c r="H179" s="138">
        <f t="shared" ref="H179:H193" si="35">J18</f>
        <v>7656674</v>
      </c>
      <c r="I179" s="138">
        <f t="shared" ref="I179:I193" si="36">J48</f>
        <v>17859576</v>
      </c>
      <c r="J179" s="138">
        <f t="shared" ref="J179:J193" si="37">J78</f>
        <v>202709598</v>
      </c>
      <c r="K179" s="138"/>
      <c r="L179" s="138">
        <f>D179+H179</f>
        <v>11307286</v>
      </c>
      <c r="M179" s="138">
        <f>E179+I179</f>
        <v>26686968</v>
      </c>
      <c r="N179" s="138">
        <f>F179+J179</f>
        <v>305274002</v>
      </c>
      <c r="O179" s="139"/>
      <c r="P179" s="129"/>
      <c r="Q179" s="129"/>
      <c r="S179">
        <v>16790168</v>
      </c>
      <c r="T179">
        <v>1</v>
      </c>
      <c r="U179" t="str">
        <v>H</v>
      </c>
    </row>
    <row r="180" spans="1:21" ht="15.75" x14ac:dyDescent="0.25">
      <c r="A180" s="129"/>
      <c r="B180" s="136">
        <v>2</v>
      </c>
      <c r="C180" s="137" t="s">
        <v>276</v>
      </c>
      <c r="D180" s="138">
        <f t="shared" si="32"/>
        <v>13720</v>
      </c>
      <c r="E180" s="138">
        <f t="shared" si="33"/>
        <v>0</v>
      </c>
      <c r="F180" s="138">
        <f t="shared" si="34"/>
        <v>0</v>
      </c>
      <c r="G180" s="138"/>
      <c r="H180" s="138">
        <f t="shared" si="35"/>
        <v>226534</v>
      </c>
      <c r="I180" s="138">
        <f t="shared" si="36"/>
        <v>0</v>
      </c>
      <c r="J180" s="138">
        <f t="shared" si="37"/>
        <v>2303536</v>
      </c>
      <c r="K180" s="138"/>
      <c r="L180" s="138">
        <f t="shared" ref="L180:N193" si="38">D180+H180</f>
        <v>240254</v>
      </c>
      <c r="M180" s="138">
        <f t="shared" si="38"/>
        <v>0</v>
      </c>
      <c r="N180" s="138">
        <f t="shared" si="38"/>
        <v>2303536</v>
      </c>
      <c r="O180" s="139"/>
      <c r="P180" s="129"/>
      <c r="Q180" s="129"/>
      <c r="S180">
        <v>16807438</v>
      </c>
      <c r="T180">
        <v>1</v>
      </c>
      <c r="U180" t="str">
        <v>M</v>
      </c>
    </row>
    <row r="181" spans="1:21" ht="15.75" x14ac:dyDescent="0.25">
      <c r="A181" s="129"/>
      <c r="B181" s="136">
        <v>3</v>
      </c>
      <c r="C181" s="137" t="s">
        <v>1118</v>
      </c>
      <c r="D181" s="138">
        <f t="shared" si="32"/>
        <v>63896</v>
      </c>
      <c r="E181" s="138">
        <f t="shared" si="33"/>
        <v>0</v>
      </c>
      <c r="F181" s="138">
        <f t="shared" si="34"/>
        <v>0</v>
      </c>
      <c r="G181" s="138"/>
      <c r="H181" s="138">
        <f t="shared" si="35"/>
        <v>0</v>
      </c>
      <c r="I181" s="138">
        <f t="shared" si="36"/>
        <v>0</v>
      </c>
      <c r="J181" s="138">
        <f t="shared" si="37"/>
        <v>62827600</v>
      </c>
      <c r="K181" s="138"/>
      <c r="L181" s="138">
        <f t="shared" si="38"/>
        <v>63896</v>
      </c>
      <c r="M181" s="138">
        <f t="shared" si="38"/>
        <v>0</v>
      </c>
      <c r="N181" s="138">
        <f t="shared" si="38"/>
        <v>62827600</v>
      </c>
      <c r="O181" s="139"/>
      <c r="P181" s="129"/>
      <c r="Q181" s="129"/>
      <c r="S181">
        <v>16871109</v>
      </c>
      <c r="T181">
        <v>7</v>
      </c>
      <c r="U181" t="str">
        <v>M</v>
      </c>
    </row>
    <row r="182" spans="1:21" ht="31.5" x14ac:dyDescent="0.25">
      <c r="A182" s="129"/>
      <c r="B182" s="136">
        <v>4</v>
      </c>
      <c r="C182" s="137" t="s">
        <v>278</v>
      </c>
      <c r="D182" s="138">
        <f t="shared" si="32"/>
        <v>0</v>
      </c>
      <c r="E182" s="138">
        <f t="shared" si="33"/>
        <v>0</v>
      </c>
      <c r="F182" s="138">
        <f t="shared" si="34"/>
        <v>0</v>
      </c>
      <c r="G182" s="138"/>
      <c r="H182" s="138">
        <f t="shared" si="35"/>
        <v>0</v>
      </c>
      <c r="I182" s="138">
        <f t="shared" si="36"/>
        <v>15160</v>
      </c>
      <c r="J182" s="138">
        <f t="shared" si="37"/>
        <v>10489760</v>
      </c>
      <c r="K182" s="138"/>
      <c r="L182" s="138">
        <f t="shared" si="38"/>
        <v>0</v>
      </c>
      <c r="M182" s="138">
        <f t="shared" si="38"/>
        <v>15160</v>
      </c>
      <c r="N182" s="138">
        <f t="shared" si="38"/>
        <v>10489760</v>
      </c>
      <c r="O182" s="139"/>
      <c r="P182" s="129"/>
      <c r="Q182" s="129"/>
      <c r="S182">
        <v>16923344</v>
      </c>
      <c r="T182">
        <v>1</v>
      </c>
      <c r="U182" t="str">
        <v>M</v>
      </c>
    </row>
    <row r="183" spans="1:21" ht="31.5" x14ac:dyDescent="0.25">
      <c r="A183" s="129"/>
      <c r="B183" s="136" t="s">
        <v>743</v>
      </c>
      <c r="C183" s="137" t="s">
        <v>742</v>
      </c>
      <c r="D183" s="138">
        <f t="shared" si="32"/>
        <v>0</v>
      </c>
      <c r="E183" s="138">
        <f t="shared" si="33"/>
        <v>0</v>
      </c>
      <c r="F183" s="138">
        <f t="shared" si="34"/>
        <v>0</v>
      </c>
      <c r="G183" s="138"/>
      <c r="H183" s="138">
        <f t="shared" si="35"/>
        <v>0</v>
      </c>
      <c r="I183" s="138">
        <f t="shared" si="36"/>
        <v>0</v>
      </c>
      <c r="J183" s="138">
        <f t="shared" si="37"/>
        <v>0</v>
      </c>
      <c r="K183" s="138"/>
      <c r="L183" s="138">
        <f t="shared" si="38"/>
        <v>0</v>
      </c>
      <c r="M183" s="138">
        <f t="shared" si="38"/>
        <v>0</v>
      </c>
      <c r="N183" s="138">
        <f t="shared" si="38"/>
        <v>0</v>
      </c>
      <c r="O183" s="139"/>
      <c r="P183" s="129"/>
      <c r="Q183" s="129"/>
      <c r="S183">
        <v>16941040</v>
      </c>
      <c r="T183">
        <v>2</v>
      </c>
      <c r="U183" t="str">
        <v>H</v>
      </c>
    </row>
    <row r="184" spans="1:21" ht="63" x14ac:dyDescent="0.25">
      <c r="A184" s="129"/>
      <c r="B184" s="136" t="s">
        <v>745</v>
      </c>
      <c r="C184" s="137" t="s">
        <v>1119</v>
      </c>
      <c r="D184" s="138">
        <f t="shared" si="32"/>
        <v>0</v>
      </c>
      <c r="E184" s="138">
        <f t="shared" si="33"/>
        <v>0</v>
      </c>
      <c r="F184" s="138">
        <f t="shared" si="34"/>
        <v>0</v>
      </c>
      <c r="G184" s="138"/>
      <c r="H184" s="138">
        <f t="shared" si="35"/>
        <v>0</v>
      </c>
      <c r="I184" s="138">
        <f t="shared" si="36"/>
        <v>0</v>
      </c>
      <c r="J184" s="138">
        <f t="shared" si="37"/>
        <v>0</v>
      </c>
      <c r="K184" s="138"/>
      <c r="L184" s="138">
        <f t="shared" si="38"/>
        <v>0</v>
      </c>
      <c r="M184" s="138">
        <f t="shared" si="38"/>
        <v>0</v>
      </c>
      <c r="N184" s="138">
        <f t="shared" si="38"/>
        <v>0</v>
      </c>
      <c r="O184" s="139"/>
      <c r="P184" s="129"/>
      <c r="Q184" s="129"/>
      <c r="S184">
        <v>16976511</v>
      </c>
      <c r="T184">
        <v>3</v>
      </c>
      <c r="U184" t="str">
        <v>M</v>
      </c>
    </row>
    <row r="185" spans="1:21" ht="31.5" x14ac:dyDescent="0.25">
      <c r="A185" s="129"/>
      <c r="B185" s="136" t="s">
        <v>747</v>
      </c>
      <c r="C185" s="137" t="s">
        <v>746</v>
      </c>
      <c r="D185" s="138">
        <f t="shared" si="32"/>
        <v>0</v>
      </c>
      <c r="E185" s="138">
        <f t="shared" si="33"/>
        <v>0</v>
      </c>
      <c r="F185" s="138">
        <f t="shared" si="34"/>
        <v>0</v>
      </c>
      <c r="G185" s="138"/>
      <c r="H185" s="138">
        <f t="shared" si="35"/>
        <v>0</v>
      </c>
      <c r="I185" s="138">
        <f t="shared" si="36"/>
        <v>0</v>
      </c>
      <c r="J185" s="138">
        <f t="shared" si="37"/>
        <v>0</v>
      </c>
      <c r="K185" s="138"/>
      <c r="L185" s="138">
        <f t="shared" si="38"/>
        <v>0</v>
      </c>
      <c r="M185" s="138">
        <f t="shared" si="38"/>
        <v>0</v>
      </c>
      <c r="N185" s="138">
        <f t="shared" si="38"/>
        <v>0</v>
      </c>
      <c r="O185" s="139"/>
      <c r="P185" s="129"/>
      <c r="Q185" s="129"/>
      <c r="S185">
        <v>17009993</v>
      </c>
      <c r="T185">
        <v>1</v>
      </c>
      <c r="U185" t="str">
        <v>M</v>
      </c>
    </row>
    <row r="186" spans="1:21" ht="63" x14ac:dyDescent="0.25">
      <c r="A186" s="129"/>
      <c r="B186" s="136" t="s">
        <v>749</v>
      </c>
      <c r="C186" s="137" t="s">
        <v>1120</v>
      </c>
      <c r="D186" s="138">
        <f t="shared" si="32"/>
        <v>0</v>
      </c>
      <c r="E186" s="138">
        <f t="shared" si="33"/>
        <v>0</v>
      </c>
      <c r="F186" s="138">
        <f t="shared" si="34"/>
        <v>0</v>
      </c>
      <c r="G186" s="138"/>
      <c r="H186" s="138">
        <f t="shared" si="35"/>
        <v>0</v>
      </c>
      <c r="I186" s="138">
        <f t="shared" si="36"/>
        <v>0</v>
      </c>
      <c r="J186" s="138">
        <f t="shared" si="37"/>
        <v>0</v>
      </c>
      <c r="K186" s="138"/>
      <c r="L186" s="138">
        <f t="shared" si="38"/>
        <v>0</v>
      </c>
      <c r="M186" s="138">
        <f t="shared" si="38"/>
        <v>0</v>
      </c>
      <c r="N186" s="138">
        <f t="shared" si="38"/>
        <v>0</v>
      </c>
      <c r="O186" s="139"/>
      <c r="P186" s="129"/>
      <c r="Q186" s="129"/>
      <c r="S186">
        <v>17063928</v>
      </c>
      <c r="T186">
        <v>2</v>
      </c>
      <c r="U186" t="str">
        <v>M</v>
      </c>
    </row>
    <row r="187" spans="1:21" ht="15.75" x14ac:dyDescent="0.25">
      <c r="A187" s="129"/>
      <c r="B187" s="136">
        <v>7</v>
      </c>
      <c r="C187" s="137" t="s">
        <v>279</v>
      </c>
      <c r="D187" s="138">
        <f t="shared" si="32"/>
        <v>0</v>
      </c>
      <c r="E187" s="138">
        <f t="shared" si="33"/>
        <v>0</v>
      </c>
      <c r="F187" s="138">
        <f t="shared" si="34"/>
        <v>0</v>
      </c>
      <c r="G187" s="138"/>
      <c r="H187" s="138">
        <f t="shared" si="35"/>
        <v>0</v>
      </c>
      <c r="I187" s="138">
        <f t="shared" si="36"/>
        <v>641328</v>
      </c>
      <c r="J187" s="138">
        <f t="shared" si="37"/>
        <v>4706458</v>
      </c>
      <c r="K187" s="138"/>
      <c r="L187" s="138">
        <f t="shared" si="38"/>
        <v>0</v>
      </c>
      <c r="M187" s="138">
        <f t="shared" si="38"/>
        <v>641328</v>
      </c>
      <c r="N187" s="138">
        <f t="shared" si="38"/>
        <v>4706458</v>
      </c>
      <c r="O187" s="139"/>
      <c r="P187" s="129"/>
      <c r="Q187" s="129"/>
      <c r="S187">
        <v>17072798</v>
      </c>
      <c r="T187">
        <v>2</v>
      </c>
      <c r="U187" t="str">
        <v>H</v>
      </c>
    </row>
    <row r="188" spans="1:21" ht="15.75" x14ac:dyDescent="0.25">
      <c r="A188" s="129"/>
      <c r="B188" s="136">
        <v>8</v>
      </c>
      <c r="C188" s="137" t="s">
        <v>750</v>
      </c>
      <c r="D188" s="138">
        <f t="shared" si="32"/>
        <v>0</v>
      </c>
      <c r="E188" s="138">
        <f t="shared" si="33"/>
        <v>0</v>
      </c>
      <c r="F188" s="138">
        <f t="shared" si="34"/>
        <v>0</v>
      </c>
      <c r="G188" s="138"/>
      <c r="H188" s="138">
        <f t="shared" si="35"/>
        <v>0</v>
      </c>
      <c r="I188" s="138">
        <f t="shared" si="36"/>
        <v>0</v>
      </c>
      <c r="J188" s="138">
        <f t="shared" si="37"/>
        <v>0</v>
      </c>
      <c r="K188" s="138"/>
      <c r="L188" s="138">
        <f t="shared" si="38"/>
        <v>0</v>
      </c>
      <c r="M188" s="138">
        <f t="shared" si="38"/>
        <v>0</v>
      </c>
      <c r="N188" s="138">
        <f t="shared" si="38"/>
        <v>0</v>
      </c>
      <c r="O188" s="139"/>
      <c r="P188" s="129"/>
      <c r="Q188" s="129"/>
      <c r="S188">
        <v>17073876</v>
      </c>
      <c r="T188">
        <v>1</v>
      </c>
      <c r="U188" t="str">
        <v>M</v>
      </c>
    </row>
    <row r="189" spans="1:21" ht="15.75" x14ac:dyDescent="0.25">
      <c r="A189" s="129"/>
      <c r="B189" s="136">
        <v>9</v>
      </c>
      <c r="C189" s="137" t="s">
        <v>715</v>
      </c>
      <c r="D189" s="138">
        <f t="shared" si="32"/>
        <v>0</v>
      </c>
      <c r="E189" s="138">
        <f t="shared" si="33"/>
        <v>0</v>
      </c>
      <c r="F189" s="138">
        <f t="shared" si="34"/>
        <v>0</v>
      </c>
      <c r="G189" s="138"/>
      <c r="H189" s="138">
        <f t="shared" si="35"/>
        <v>0</v>
      </c>
      <c r="I189" s="138">
        <f t="shared" si="36"/>
        <v>0</v>
      </c>
      <c r="J189" s="138">
        <f t="shared" si="37"/>
        <v>0</v>
      </c>
      <c r="K189" s="138"/>
      <c r="L189" s="138">
        <f t="shared" si="38"/>
        <v>0</v>
      </c>
      <c r="M189" s="138">
        <f t="shared" si="38"/>
        <v>0</v>
      </c>
      <c r="N189" s="138">
        <f t="shared" si="38"/>
        <v>0</v>
      </c>
      <c r="O189" s="139"/>
      <c r="P189" s="129"/>
      <c r="Q189" s="129"/>
      <c r="S189">
        <v>17166904</v>
      </c>
      <c r="T189">
        <v>1</v>
      </c>
      <c r="U189" t="str">
        <v>M</v>
      </c>
    </row>
    <row r="190" spans="1:21" ht="15.75" x14ac:dyDescent="0.25">
      <c r="A190" s="129"/>
      <c r="B190" s="136">
        <v>10</v>
      </c>
      <c r="C190" s="137" t="s">
        <v>716</v>
      </c>
      <c r="D190" s="138">
        <f t="shared" si="32"/>
        <v>0</v>
      </c>
      <c r="E190" s="138">
        <f t="shared" si="33"/>
        <v>0</v>
      </c>
      <c r="F190" s="138">
        <f t="shared" si="34"/>
        <v>0</v>
      </c>
      <c r="G190" s="138"/>
      <c r="H190" s="138">
        <f t="shared" si="35"/>
        <v>0</v>
      </c>
      <c r="I190" s="138">
        <f t="shared" si="36"/>
        <v>0</v>
      </c>
      <c r="J190" s="138">
        <f t="shared" si="37"/>
        <v>0</v>
      </c>
      <c r="K190" s="138"/>
      <c r="L190" s="138">
        <f t="shared" si="38"/>
        <v>0</v>
      </c>
      <c r="M190" s="138">
        <f t="shared" si="38"/>
        <v>0</v>
      </c>
      <c r="N190" s="138">
        <f t="shared" si="38"/>
        <v>0</v>
      </c>
      <c r="O190" s="139"/>
      <c r="P190" s="129"/>
      <c r="Q190" s="129"/>
      <c r="S190">
        <v>17170997</v>
      </c>
      <c r="T190">
        <v>1</v>
      </c>
      <c r="U190" t="str">
        <v>M</v>
      </c>
    </row>
    <row r="191" spans="1:21" ht="15.75" x14ac:dyDescent="0.25">
      <c r="A191" s="129"/>
      <c r="B191" s="136">
        <v>11</v>
      </c>
      <c r="C191" s="137" t="s">
        <v>717</v>
      </c>
      <c r="D191" s="138">
        <f t="shared" si="32"/>
        <v>0</v>
      </c>
      <c r="E191" s="138">
        <f t="shared" si="33"/>
        <v>0</v>
      </c>
      <c r="F191" s="138">
        <f t="shared" si="34"/>
        <v>0</v>
      </c>
      <c r="G191" s="138"/>
      <c r="H191" s="138">
        <f t="shared" si="35"/>
        <v>0</v>
      </c>
      <c r="I191" s="138">
        <f t="shared" si="36"/>
        <v>0</v>
      </c>
      <c r="J191" s="138">
        <f t="shared" si="37"/>
        <v>0</v>
      </c>
      <c r="K191" s="138"/>
      <c r="L191" s="138">
        <f t="shared" si="38"/>
        <v>0</v>
      </c>
      <c r="M191" s="138">
        <f t="shared" si="38"/>
        <v>0</v>
      </c>
      <c r="N191" s="138">
        <f t="shared" si="38"/>
        <v>0</v>
      </c>
      <c r="O191" s="139"/>
      <c r="P191" s="129"/>
      <c r="Q191" s="129"/>
      <c r="S191">
        <v>17175870</v>
      </c>
      <c r="T191">
        <v>1</v>
      </c>
      <c r="U191" t="str">
        <v>H</v>
      </c>
    </row>
    <row r="192" spans="1:21" ht="15.75" x14ac:dyDescent="0.25">
      <c r="A192" s="129"/>
      <c r="B192" s="136">
        <v>12</v>
      </c>
      <c r="C192" s="137" t="s">
        <v>718</v>
      </c>
      <c r="D192" s="138">
        <f t="shared" si="32"/>
        <v>0</v>
      </c>
      <c r="E192" s="138">
        <f t="shared" si="33"/>
        <v>0</v>
      </c>
      <c r="F192" s="138">
        <f t="shared" si="34"/>
        <v>0</v>
      </c>
      <c r="G192" s="138"/>
      <c r="H192" s="138">
        <f t="shared" si="35"/>
        <v>0</v>
      </c>
      <c r="I192" s="138">
        <f t="shared" si="36"/>
        <v>0</v>
      </c>
      <c r="J192" s="138">
        <f t="shared" si="37"/>
        <v>0</v>
      </c>
      <c r="K192" s="138"/>
      <c r="L192" s="138">
        <f t="shared" si="38"/>
        <v>0</v>
      </c>
      <c r="M192" s="138">
        <f t="shared" si="38"/>
        <v>0</v>
      </c>
      <c r="N192" s="138">
        <f t="shared" si="38"/>
        <v>0</v>
      </c>
      <c r="O192" s="139"/>
      <c r="P192" s="129"/>
      <c r="Q192" s="129"/>
      <c r="S192">
        <v>17238853</v>
      </c>
      <c r="T192">
        <v>1</v>
      </c>
      <c r="U192" t="str">
        <v>M</v>
      </c>
    </row>
    <row r="193" spans="1:54" ht="63" x14ac:dyDescent="0.25">
      <c r="A193" s="129"/>
      <c r="B193" s="136">
        <v>13</v>
      </c>
      <c r="C193" s="137" t="s">
        <v>1121</v>
      </c>
      <c r="D193" s="138">
        <f t="shared" si="32"/>
        <v>0</v>
      </c>
      <c r="E193" s="138">
        <f t="shared" si="33"/>
        <v>0</v>
      </c>
      <c r="F193" s="138">
        <f t="shared" si="34"/>
        <v>0</v>
      </c>
      <c r="G193" s="138"/>
      <c r="H193" s="138">
        <f t="shared" si="35"/>
        <v>0</v>
      </c>
      <c r="I193" s="138">
        <f t="shared" si="36"/>
        <v>0</v>
      </c>
      <c r="J193" s="138">
        <f t="shared" si="37"/>
        <v>0</v>
      </c>
      <c r="K193" s="138"/>
      <c r="L193" s="138">
        <f t="shared" si="38"/>
        <v>0</v>
      </c>
      <c r="M193" s="138">
        <f t="shared" si="38"/>
        <v>0</v>
      </c>
      <c r="N193" s="138">
        <f t="shared" si="38"/>
        <v>0</v>
      </c>
      <c r="O193" s="139"/>
      <c r="P193" s="129"/>
      <c r="Q193" s="129"/>
      <c r="S193">
        <v>17286579</v>
      </c>
      <c r="T193">
        <v>1</v>
      </c>
      <c r="U193" t="str">
        <v>M</v>
      </c>
    </row>
    <row r="194" spans="1:54" ht="15.75" x14ac:dyDescent="0.25">
      <c r="A194" s="129"/>
      <c r="B194" s="233" t="s">
        <v>1112</v>
      </c>
      <c r="C194" s="234"/>
      <c r="D194" s="140">
        <f>SUM(D179:D193)</f>
        <v>3728228</v>
      </c>
      <c r="E194" s="140">
        <f t="shared" ref="E194:F194" si="39">SUM(E179:E193)</f>
        <v>8827392</v>
      </c>
      <c r="F194" s="140">
        <f t="shared" si="39"/>
        <v>102564404</v>
      </c>
      <c r="G194" s="140"/>
      <c r="H194" s="140">
        <f t="shared" ref="H194:J194" si="40">SUM(H179:H193)</f>
        <v>7883208</v>
      </c>
      <c r="I194" s="140">
        <f t="shared" si="40"/>
        <v>18516064</v>
      </c>
      <c r="J194" s="140">
        <f t="shared" si="40"/>
        <v>283036952</v>
      </c>
      <c r="K194" s="140"/>
      <c r="L194" s="140">
        <f t="shared" ref="L194:N194" si="41">SUM(L179:L193)</f>
        <v>11611436</v>
      </c>
      <c r="M194" s="140">
        <f t="shared" si="41"/>
        <v>27343456</v>
      </c>
      <c r="N194" s="140">
        <f t="shared" si="41"/>
        <v>385601356</v>
      </c>
      <c r="O194" s="141"/>
      <c r="P194" s="142"/>
      <c r="Q194" s="129"/>
      <c r="S194">
        <v>17287311</v>
      </c>
      <c r="T194">
        <v>3</v>
      </c>
      <c r="U194" t="str">
        <v>M</v>
      </c>
    </row>
    <row r="195" spans="1:54" ht="15.75" x14ac:dyDescent="0.25">
      <c r="A195" s="129"/>
      <c r="B195" s="143"/>
      <c r="C195" s="143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S195">
        <v>17311708</v>
      </c>
      <c r="T195">
        <v>1</v>
      </c>
      <c r="U195" t="str">
        <v>M</v>
      </c>
    </row>
    <row r="196" spans="1:54" ht="15.75" x14ac:dyDescent="0.25">
      <c r="A196" s="129"/>
      <c r="B196" s="143"/>
      <c r="C196" s="143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S196">
        <v>17316812</v>
      </c>
      <c r="T196">
        <v>3</v>
      </c>
      <c r="U196" t="str">
        <v>H</v>
      </c>
    </row>
    <row r="197" spans="1:54" ht="15.75" x14ac:dyDescent="0.25">
      <c r="A197" s="129"/>
      <c r="B197" s="143"/>
      <c r="C197" s="144" t="s">
        <v>1126</v>
      </c>
      <c r="D197" s="145" t="s">
        <v>261</v>
      </c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S197">
        <v>17343114</v>
      </c>
      <c r="T197">
        <v>1</v>
      </c>
      <c r="U197" t="str">
        <v>M</v>
      </c>
      <c r="BB197" t="s">
        <v>261</v>
      </c>
    </row>
    <row r="198" spans="1:54" x14ac:dyDescent="0.25">
      <c r="S198">
        <v>17404717</v>
      </c>
      <c r="T198">
        <v>0</v>
      </c>
      <c r="U198" t="str">
        <v>n</v>
      </c>
      <c r="BB198" t="s">
        <v>264</v>
      </c>
    </row>
    <row r="199" spans="1:54" x14ac:dyDescent="0.25">
      <c r="A199" s="146"/>
      <c r="B199" s="147"/>
      <c r="P199" s="146"/>
      <c r="S199">
        <v>17457296</v>
      </c>
      <c r="T199">
        <v>3</v>
      </c>
      <c r="U199" t="str">
        <v>M</v>
      </c>
      <c r="BB199" t="s">
        <v>267</v>
      </c>
    </row>
    <row r="200" spans="1:54" ht="18.75" x14ac:dyDescent="0.3">
      <c r="A200" s="146"/>
      <c r="B200" s="148"/>
      <c r="P200" s="146"/>
      <c r="S200">
        <v>17492582</v>
      </c>
      <c r="T200">
        <v>1</v>
      </c>
      <c r="U200" t="str">
        <v>M</v>
      </c>
      <c r="BB200" t="s">
        <v>272</v>
      </c>
    </row>
    <row r="201" spans="1:54" ht="10.5" customHeight="1" x14ac:dyDescent="0.3">
      <c r="A201" s="146"/>
      <c r="B201" s="148"/>
      <c r="P201" s="146"/>
      <c r="S201">
        <v>17515937</v>
      </c>
      <c r="T201">
        <v>2</v>
      </c>
      <c r="U201" t="str">
        <v>H</v>
      </c>
    </row>
    <row r="202" spans="1:54" x14ac:dyDescent="0.25">
      <c r="A202" s="146"/>
      <c r="B202" s="232" t="s">
        <v>1111</v>
      </c>
      <c r="P202" s="146"/>
      <c r="S202">
        <v>17594431</v>
      </c>
      <c r="T202">
        <v>0</v>
      </c>
      <c r="U202" t="str">
        <v>n</v>
      </c>
    </row>
    <row r="203" spans="1:54" x14ac:dyDescent="0.25">
      <c r="A203" s="146"/>
      <c r="B203" s="232"/>
      <c r="P203" s="146"/>
      <c r="S203">
        <v>17602203</v>
      </c>
      <c r="T203">
        <v>1</v>
      </c>
      <c r="U203" t="str">
        <v>M</v>
      </c>
    </row>
    <row r="204" spans="1:54" ht="69" customHeight="1" x14ac:dyDescent="0.25">
      <c r="A204" s="146"/>
      <c r="B204" s="232"/>
      <c r="P204" s="146"/>
      <c r="S204">
        <v>17698936</v>
      </c>
      <c r="T204">
        <v>1</v>
      </c>
      <c r="U204" t="str">
        <v>M</v>
      </c>
    </row>
    <row r="205" spans="1:54" ht="18" customHeight="1" x14ac:dyDescent="0.25">
      <c r="A205" s="146"/>
      <c r="B205" s="150" t="s">
        <v>1133</v>
      </c>
      <c r="P205" s="146"/>
      <c r="S205">
        <v>17699624</v>
      </c>
      <c r="T205">
        <v>2</v>
      </c>
      <c r="U205" t="str">
        <v>M</v>
      </c>
    </row>
    <row r="206" spans="1:54" ht="18" customHeight="1" x14ac:dyDescent="0.25">
      <c r="A206" s="146"/>
      <c r="B206" s="156">
        <v>3</v>
      </c>
      <c r="P206" s="146"/>
      <c r="S206">
        <v>17702868</v>
      </c>
      <c r="T206">
        <v>1</v>
      </c>
      <c r="U206" t="str">
        <v>M</v>
      </c>
    </row>
    <row r="207" spans="1:54" ht="18" customHeight="1" x14ac:dyDescent="0.25">
      <c r="A207" s="146"/>
      <c r="B207" s="156">
        <v>4</v>
      </c>
      <c r="P207" s="146"/>
      <c r="S207">
        <v>17707627</v>
      </c>
      <c r="T207">
        <v>1</v>
      </c>
      <c r="U207" t="str">
        <v>M</v>
      </c>
    </row>
    <row r="208" spans="1:54" ht="18" customHeight="1" x14ac:dyDescent="0.25">
      <c r="A208" s="146"/>
      <c r="B208" s="156">
        <v>5</v>
      </c>
      <c r="P208" s="146"/>
      <c r="S208">
        <v>17956353</v>
      </c>
      <c r="T208">
        <v>2</v>
      </c>
      <c r="U208" t="str">
        <v>M</v>
      </c>
    </row>
    <row r="209" spans="1:21" ht="18" customHeight="1" x14ac:dyDescent="0.25">
      <c r="A209" s="146"/>
      <c r="B209" s="156">
        <v>6</v>
      </c>
      <c r="P209" s="146"/>
      <c r="S209">
        <v>18022811</v>
      </c>
      <c r="T209">
        <v>2</v>
      </c>
      <c r="U209" t="str">
        <v>H</v>
      </c>
    </row>
    <row r="210" spans="1:21" ht="18" customHeight="1" x14ac:dyDescent="0.25">
      <c r="A210" s="146"/>
      <c r="B210" s="156">
        <v>7</v>
      </c>
      <c r="P210" s="146"/>
      <c r="S210">
        <v>18114965</v>
      </c>
      <c r="T210">
        <v>1</v>
      </c>
      <c r="U210" t="str">
        <v>M</v>
      </c>
    </row>
    <row r="211" spans="1:21" ht="18" customHeight="1" x14ac:dyDescent="0.25">
      <c r="A211" s="146"/>
      <c r="B211" s="162" t="s">
        <v>1136</v>
      </c>
      <c r="P211" s="146"/>
      <c r="S211">
        <v>18172881</v>
      </c>
      <c r="T211">
        <v>1</v>
      </c>
      <c r="U211" t="str">
        <v>M</v>
      </c>
    </row>
    <row r="212" spans="1:21" ht="19.5" customHeight="1" x14ac:dyDescent="0.25">
      <c r="A212" s="146"/>
      <c r="B212" s="163"/>
      <c r="P212" s="146"/>
      <c r="S212">
        <v>18175044</v>
      </c>
      <c r="T212">
        <v>1</v>
      </c>
      <c r="U212" t="str">
        <v>H</v>
      </c>
    </row>
    <row r="213" spans="1:21" ht="19.5" customHeight="1" x14ac:dyDescent="0.25">
      <c r="A213" s="146"/>
      <c r="B213" s="164"/>
      <c r="P213" s="146"/>
      <c r="S213">
        <v>18211616</v>
      </c>
      <c r="T213">
        <v>2</v>
      </c>
      <c r="U213" t="str">
        <v>M</v>
      </c>
    </row>
    <row r="214" spans="1:21" x14ac:dyDescent="0.25">
      <c r="A214" s="146"/>
      <c r="B214" s="147"/>
      <c r="P214" s="146"/>
      <c r="S214">
        <v>18303226</v>
      </c>
      <c r="T214">
        <v>5</v>
      </c>
      <c r="U214" t="str">
        <v>M</v>
      </c>
    </row>
    <row r="215" spans="1:21" ht="18.75" x14ac:dyDescent="0.3">
      <c r="A215" s="146"/>
      <c r="B215" s="148"/>
      <c r="P215" s="146"/>
      <c r="S215">
        <v>18390363</v>
      </c>
      <c r="T215">
        <v>1</v>
      </c>
      <c r="U215" t="str">
        <v>H</v>
      </c>
    </row>
    <row r="216" spans="1:21" ht="10.5" customHeight="1" x14ac:dyDescent="0.25">
      <c r="A216" s="146"/>
      <c r="B216" s="147"/>
      <c r="P216" s="146"/>
      <c r="S216">
        <v>18453626</v>
      </c>
      <c r="T216">
        <v>1</v>
      </c>
      <c r="U216" t="str">
        <v>H</v>
      </c>
    </row>
    <row r="217" spans="1:21" x14ac:dyDescent="0.25">
      <c r="A217" s="146"/>
      <c r="B217" s="232" t="s">
        <v>1111</v>
      </c>
      <c r="P217" s="146"/>
      <c r="S217">
        <v>18502227</v>
      </c>
      <c r="T217">
        <v>2</v>
      </c>
      <c r="U217" t="str">
        <v>M</v>
      </c>
    </row>
    <row r="218" spans="1:21" x14ac:dyDescent="0.25">
      <c r="A218" s="146"/>
      <c r="B218" s="232"/>
      <c r="P218" s="146"/>
      <c r="S218">
        <v>18593678</v>
      </c>
      <c r="T218">
        <v>1</v>
      </c>
      <c r="U218" t="str">
        <v>H</v>
      </c>
    </row>
    <row r="219" spans="1:21" ht="69" customHeight="1" x14ac:dyDescent="0.25">
      <c r="A219" s="146"/>
      <c r="B219" s="232"/>
      <c r="P219" s="146"/>
      <c r="S219">
        <v>18693838</v>
      </c>
      <c r="T219">
        <v>8</v>
      </c>
      <c r="U219" t="str">
        <v>M</v>
      </c>
    </row>
    <row r="220" spans="1:21" ht="18" customHeight="1" x14ac:dyDescent="0.25">
      <c r="A220" s="146"/>
      <c r="B220" s="165" t="s">
        <v>1133</v>
      </c>
      <c r="P220" s="146"/>
      <c r="S220">
        <v>18795825</v>
      </c>
      <c r="T220">
        <v>2</v>
      </c>
      <c r="U220" t="str">
        <v>H</v>
      </c>
    </row>
    <row r="221" spans="1:21" ht="18" customHeight="1" x14ac:dyDescent="0.25">
      <c r="A221" s="146"/>
      <c r="B221" s="166">
        <v>3</v>
      </c>
      <c r="P221" s="146"/>
      <c r="S221">
        <v>18840001</v>
      </c>
      <c r="T221">
        <v>2</v>
      </c>
      <c r="U221" t="str">
        <v>H</v>
      </c>
    </row>
    <row r="222" spans="1:21" ht="18" customHeight="1" x14ac:dyDescent="0.25">
      <c r="A222" s="146"/>
      <c r="B222" s="166">
        <v>4</v>
      </c>
      <c r="P222" s="146"/>
      <c r="S222">
        <v>18876314</v>
      </c>
      <c r="T222">
        <v>1</v>
      </c>
      <c r="U222" t="str">
        <v>H</v>
      </c>
    </row>
    <row r="223" spans="1:21" ht="18" customHeight="1" x14ac:dyDescent="0.25">
      <c r="A223" s="146"/>
      <c r="B223" s="166">
        <v>5</v>
      </c>
      <c r="P223" s="146"/>
      <c r="S223">
        <v>18912622</v>
      </c>
      <c r="T223">
        <v>3</v>
      </c>
      <c r="U223" t="str">
        <v>M</v>
      </c>
    </row>
    <row r="224" spans="1:21" ht="18" customHeight="1" x14ac:dyDescent="0.25">
      <c r="A224" s="146"/>
      <c r="B224" s="166">
        <v>6</v>
      </c>
      <c r="P224" s="146"/>
      <c r="S224">
        <v>18925452</v>
      </c>
      <c r="T224">
        <v>2</v>
      </c>
      <c r="U224" t="str">
        <v>H</v>
      </c>
    </row>
    <row r="225" spans="1:21" ht="18" customHeight="1" x14ac:dyDescent="0.25">
      <c r="A225" s="146"/>
      <c r="B225" s="166">
        <v>7</v>
      </c>
      <c r="P225" s="146"/>
      <c r="S225">
        <v>18936448</v>
      </c>
      <c r="T225">
        <v>1</v>
      </c>
      <c r="U225" t="str">
        <v>M</v>
      </c>
    </row>
    <row r="226" spans="1:21" ht="18" customHeight="1" x14ac:dyDescent="0.25">
      <c r="A226" s="146"/>
      <c r="B226" s="167" t="s">
        <v>1136</v>
      </c>
      <c r="P226" s="146"/>
      <c r="S226">
        <v>19077662</v>
      </c>
      <c r="T226">
        <v>2</v>
      </c>
      <c r="U226" t="str">
        <v>M</v>
      </c>
    </row>
    <row r="227" spans="1:21" ht="19.5" customHeight="1" x14ac:dyDescent="0.25">
      <c r="A227" s="146"/>
      <c r="B227" s="163"/>
      <c r="P227" s="146"/>
      <c r="S227">
        <v>19111574</v>
      </c>
      <c r="T227">
        <v>1</v>
      </c>
      <c r="U227" t="str">
        <v>M</v>
      </c>
    </row>
    <row r="228" spans="1:21" ht="15.75" x14ac:dyDescent="0.25">
      <c r="A228" s="146"/>
      <c r="B228" s="168"/>
      <c r="P228" s="146"/>
      <c r="S228">
        <v>19374687</v>
      </c>
      <c r="T228">
        <v>1</v>
      </c>
      <c r="U228" t="str">
        <v>H</v>
      </c>
    </row>
    <row r="229" spans="1:21" x14ac:dyDescent="0.25">
      <c r="A229" s="146"/>
      <c r="B229" s="147"/>
      <c r="P229" s="146"/>
      <c r="S229">
        <v>19438160</v>
      </c>
      <c r="T229">
        <v>1</v>
      </c>
      <c r="U229" t="str">
        <v>M</v>
      </c>
    </row>
    <row r="230" spans="1:21" ht="18.75" x14ac:dyDescent="0.3">
      <c r="A230" s="146"/>
      <c r="B230" s="148"/>
      <c r="P230" s="146"/>
      <c r="S230">
        <v>19740981</v>
      </c>
      <c r="T230">
        <v>1</v>
      </c>
      <c r="U230" t="str">
        <v>M</v>
      </c>
    </row>
    <row r="231" spans="1:21" x14ac:dyDescent="0.25">
      <c r="A231" s="146"/>
      <c r="B231" s="147"/>
      <c r="P231" s="146"/>
      <c r="S231">
        <v>20000162</v>
      </c>
      <c r="T231">
        <v>1</v>
      </c>
      <c r="U231" t="str">
        <v>M</v>
      </c>
    </row>
    <row r="232" spans="1:21" x14ac:dyDescent="0.25">
      <c r="A232" s="146"/>
      <c r="B232" s="232" t="s">
        <v>1111</v>
      </c>
      <c r="P232" s="146"/>
      <c r="S232">
        <v>20389156</v>
      </c>
      <c r="T232">
        <v>1</v>
      </c>
      <c r="U232" t="str">
        <v>H</v>
      </c>
    </row>
    <row r="233" spans="1:21" x14ac:dyDescent="0.25">
      <c r="A233" s="146"/>
      <c r="B233" s="232"/>
      <c r="P233" s="146"/>
      <c r="S233">
        <v>27941093</v>
      </c>
      <c r="T233">
        <v>1</v>
      </c>
      <c r="U233" t="str">
        <v>H</v>
      </c>
    </row>
    <row r="234" spans="1:21" ht="69" customHeight="1" x14ac:dyDescent="0.25">
      <c r="A234" s="146"/>
      <c r="B234" s="232"/>
      <c r="P234" s="146"/>
      <c r="S234" t="str">
        <v>Total</v>
      </c>
      <c r="T234">
        <v>350</v>
      </c>
      <c r="U234" t="e">
        <v>#N/A</v>
      </c>
    </row>
    <row r="235" spans="1:21" ht="19.5" customHeight="1" x14ac:dyDescent="0.25">
      <c r="A235" s="146"/>
      <c r="B235" s="165" t="s">
        <v>1133</v>
      </c>
      <c r="P235" s="146"/>
    </row>
    <row r="236" spans="1:21" ht="19.5" customHeight="1" x14ac:dyDescent="0.25">
      <c r="A236" s="146"/>
      <c r="B236" s="166">
        <v>3</v>
      </c>
      <c r="P236" s="146"/>
    </row>
    <row r="237" spans="1:21" ht="19.5" customHeight="1" x14ac:dyDescent="0.25">
      <c r="A237" s="146"/>
      <c r="B237" s="166">
        <v>4</v>
      </c>
      <c r="P237" s="146"/>
    </row>
    <row r="238" spans="1:21" ht="19.5" customHeight="1" x14ac:dyDescent="0.25">
      <c r="A238" s="146"/>
      <c r="B238" s="166">
        <v>5</v>
      </c>
      <c r="P238" s="146"/>
    </row>
    <row r="239" spans="1:21" ht="19.5" customHeight="1" x14ac:dyDescent="0.25">
      <c r="A239" s="146"/>
      <c r="B239" s="166">
        <v>6</v>
      </c>
      <c r="P239" s="146"/>
    </row>
    <row r="240" spans="1:21" ht="19.5" customHeight="1" x14ac:dyDescent="0.25">
      <c r="A240" s="146"/>
      <c r="B240" s="166">
        <v>7</v>
      </c>
      <c r="P240" s="146"/>
    </row>
    <row r="241" spans="1:16" ht="19.5" customHeight="1" x14ac:dyDescent="0.25">
      <c r="A241" s="146"/>
      <c r="B241" s="167" t="s">
        <v>1136</v>
      </c>
      <c r="P241" s="146"/>
    </row>
    <row r="242" spans="1:16" ht="19.5" customHeight="1" x14ac:dyDescent="0.25">
      <c r="A242" s="146"/>
      <c r="B242" s="163"/>
      <c r="P242" s="146"/>
    </row>
    <row r="243" spans="1:16" ht="15.75" x14ac:dyDescent="0.25">
      <c r="A243" s="146"/>
      <c r="B243" s="168"/>
      <c r="P243" s="146"/>
    </row>
    <row r="244" spans="1:16" ht="15.75" x14ac:dyDescent="0.25">
      <c r="A244" s="146"/>
      <c r="B244" s="168"/>
      <c r="P244" s="146"/>
    </row>
    <row r="245" spans="1:16" ht="33.75" customHeight="1" x14ac:dyDescent="0.25">
      <c r="A245" s="146"/>
      <c r="B245" s="147"/>
      <c r="P245" s="146"/>
    </row>
    <row r="246" spans="1:16" x14ac:dyDescent="0.25">
      <c r="A246" s="146"/>
      <c r="B246" s="147"/>
      <c r="P246" s="146"/>
    </row>
    <row r="247" spans="1:16" x14ac:dyDescent="0.25">
      <c r="A247" s="146"/>
      <c r="B247" s="232" t="s">
        <v>1111</v>
      </c>
      <c r="P247" s="146"/>
    </row>
    <row r="248" spans="1:16" x14ac:dyDescent="0.25">
      <c r="A248" s="146"/>
      <c r="B248" s="232"/>
      <c r="P248" s="146"/>
    </row>
    <row r="249" spans="1:16" ht="69" customHeight="1" x14ac:dyDescent="0.25">
      <c r="A249" s="146"/>
      <c r="B249" s="232"/>
      <c r="P249" s="146"/>
    </row>
    <row r="250" spans="1:16" ht="19.5" customHeight="1" x14ac:dyDescent="0.25">
      <c r="A250" s="146"/>
      <c r="B250" s="165" t="s">
        <v>1133</v>
      </c>
      <c r="P250" s="146"/>
    </row>
    <row r="251" spans="1:16" ht="19.5" customHeight="1" x14ac:dyDescent="0.25">
      <c r="A251" s="146"/>
      <c r="B251" s="166">
        <v>3</v>
      </c>
      <c r="P251" s="146"/>
    </row>
    <row r="252" spans="1:16" ht="19.5" customHeight="1" x14ac:dyDescent="0.25">
      <c r="A252" s="146"/>
      <c r="B252" s="166">
        <v>4</v>
      </c>
      <c r="P252" s="146"/>
    </row>
    <row r="253" spans="1:16" ht="19.5" customHeight="1" x14ac:dyDescent="0.25">
      <c r="A253" s="146"/>
      <c r="B253" s="166">
        <v>5</v>
      </c>
      <c r="P253" s="146"/>
    </row>
    <row r="254" spans="1:16" ht="19.5" customHeight="1" x14ac:dyDescent="0.25">
      <c r="A254" s="146"/>
      <c r="B254" s="166">
        <v>6</v>
      </c>
      <c r="P254" s="146"/>
    </row>
    <row r="255" spans="1:16" ht="19.5" customHeight="1" x14ac:dyDescent="0.25">
      <c r="A255" s="146"/>
      <c r="B255" s="166">
        <v>7</v>
      </c>
      <c r="P255" s="146"/>
    </row>
    <row r="256" spans="1:16" ht="19.5" customHeight="1" x14ac:dyDescent="0.25">
      <c r="A256" s="146"/>
      <c r="B256" s="167" t="s">
        <v>1136</v>
      </c>
      <c r="P256" s="146"/>
    </row>
    <row r="257" spans="1:16" ht="19.5" customHeight="1" x14ac:dyDescent="0.25">
      <c r="A257" s="146"/>
      <c r="B257" s="163"/>
      <c r="P257" s="146"/>
    </row>
    <row r="258" spans="1:16" x14ac:dyDescent="0.25">
      <c r="A258" s="146"/>
      <c r="B258" s="147"/>
      <c r="P258" s="146"/>
    </row>
    <row r="259" spans="1:16" x14ac:dyDescent="0.25">
      <c r="A259" s="146"/>
      <c r="B259" s="147"/>
      <c r="C259" s="147"/>
      <c r="D259" s="146"/>
      <c r="E259" s="146"/>
      <c r="F259" s="146"/>
      <c r="G259" s="146"/>
      <c r="H259" s="146"/>
      <c r="I259" s="146"/>
      <c r="J259" s="146"/>
      <c r="K259" s="146"/>
      <c r="L259" s="146"/>
      <c r="M259" s="146"/>
      <c r="N259" s="146"/>
      <c r="O259" s="146"/>
      <c r="P259" s="146"/>
    </row>
    <row r="260" spans="1:16" ht="28.5" customHeight="1" x14ac:dyDescent="0.25">
      <c r="A260" s="146"/>
      <c r="B260" s="147"/>
      <c r="P260" s="146"/>
    </row>
    <row r="261" spans="1:16" ht="46.5" customHeight="1" x14ac:dyDescent="0.25">
      <c r="A261" s="146"/>
      <c r="B261" s="147"/>
      <c r="P261" s="146"/>
    </row>
    <row r="262" spans="1:16" ht="62.25" customHeight="1" x14ac:dyDescent="0.25"/>
    <row r="263" spans="1:16" ht="33.75" customHeight="1" x14ac:dyDescent="0.25"/>
    <row r="264" spans="1:16" ht="48.75" customHeight="1" x14ac:dyDescent="0.25"/>
    <row r="266" spans="1:16" ht="30" customHeight="1" x14ac:dyDescent="0.25"/>
    <row r="267" spans="1:16" ht="30.75" customHeight="1" x14ac:dyDescent="0.25"/>
    <row r="268" spans="1:16" ht="32.25" customHeight="1" x14ac:dyDescent="0.25"/>
  </sheetData>
  <sheetProtection algorithmName="SHA-512" hashValue="jBBmyPBZtl8C/lrY4TSKi6rBLH9JoApixmYdugC85a8/sS+ii9oF7Jmpvm5CpFKJkKSBhFvq9gj3RYT+bJNUuQ==" saltValue="dlu2gzkav/UqCH1RwCQzbQ==" spinCount="100000" sheet="1" objects="1" scenarios="1"/>
  <mergeCells count="36">
    <mergeCell ref="C106:N106"/>
    <mergeCell ref="B108:B110"/>
    <mergeCell ref="C108:C110"/>
    <mergeCell ref="D108:J108"/>
    <mergeCell ref="L108:N109"/>
    <mergeCell ref="D109:F109"/>
    <mergeCell ref="H109:J109"/>
    <mergeCell ref="B126:C126"/>
    <mergeCell ref="C129:N129"/>
    <mergeCell ref="B131:B133"/>
    <mergeCell ref="C131:C133"/>
    <mergeCell ref="D131:J131"/>
    <mergeCell ref="L131:N132"/>
    <mergeCell ref="D132:F132"/>
    <mergeCell ref="H132:J132"/>
    <mergeCell ref="B149:C149"/>
    <mergeCell ref="C152:N152"/>
    <mergeCell ref="B154:B156"/>
    <mergeCell ref="C154:C156"/>
    <mergeCell ref="D154:J154"/>
    <mergeCell ref="L154:N155"/>
    <mergeCell ref="D155:F155"/>
    <mergeCell ref="H155:J155"/>
    <mergeCell ref="B172:C172"/>
    <mergeCell ref="C174:N174"/>
    <mergeCell ref="B176:B178"/>
    <mergeCell ref="C176:C178"/>
    <mergeCell ref="D176:J176"/>
    <mergeCell ref="L176:N177"/>
    <mergeCell ref="D177:F177"/>
    <mergeCell ref="H177:J177"/>
    <mergeCell ref="B247:B249"/>
    <mergeCell ref="B232:B234"/>
    <mergeCell ref="B217:B219"/>
    <mergeCell ref="B194:C194"/>
    <mergeCell ref="B202:B204"/>
  </mergeCells>
  <dataValidations disablePrompts="1" count="1">
    <dataValidation type="list" allowBlank="1" showInputMessage="1" showErrorMessage="1" sqref="D197" xr:uid="{00000000-0002-0000-0200-000000000000}">
      <formula1>$BB$197:$BB$200</formula1>
    </dataValidation>
  </dataValidations>
  <pageMargins left="0.7" right="0.7" top="0.75" bottom="0.75" header="0.3" footer="0.3"/>
  <pageSetup paperSize="281" scale="72" orientation="landscape" r:id="rId1"/>
  <rowBreaks count="2" manualBreakCount="2">
    <brk id="228" max="14" man="1"/>
    <brk id="258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D373"/>
  <sheetViews>
    <sheetView zoomScaleNormal="100" workbookViewId="0">
      <selection activeCell="A105" sqref="A105:XFD159"/>
    </sheetView>
  </sheetViews>
  <sheetFormatPr baseColWidth="10" defaultColWidth="11.42578125" defaultRowHeight="12.75" x14ac:dyDescent="0.2"/>
  <cols>
    <col min="1" max="1" width="15.7109375" style="52" customWidth="1"/>
    <col min="2" max="4" width="40.7109375" style="52" customWidth="1"/>
    <col min="5" max="16384" width="11.42578125" style="19"/>
  </cols>
  <sheetData>
    <row r="1" spans="1:4" x14ac:dyDescent="0.2">
      <c r="A1" s="100" t="s">
        <v>48</v>
      </c>
      <c r="B1" s="100" t="s">
        <v>49</v>
      </c>
      <c r="C1" s="100" t="s">
        <v>50</v>
      </c>
      <c r="D1" s="100" t="s">
        <v>51</v>
      </c>
    </row>
    <row r="2" spans="1:4" x14ac:dyDescent="0.2">
      <c r="A2" s="94" t="s">
        <v>52</v>
      </c>
      <c r="B2" s="95" t="s">
        <v>287</v>
      </c>
      <c r="C2" s="95" t="s">
        <v>288</v>
      </c>
      <c r="D2" s="101" t="s">
        <v>288</v>
      </c>
    </row>
    <row r="3" spans="1:4" x14ac:dyDescent="0.2">
      <c r="A3" s="94" t="s">
        <v>53</v>
      </c>
      <c r="B3" s="95" t="s">
        <v>54</v>
      </c>
      <c r="C3" s="95" t="s">
        <v>289</v>
      </c>
      <c r="D3" s="101" t="s">
        <v>289</v>
      </c>
    </row>
    <row r="4" spans="1:4" x14ac:dyDescent="0.2">
      <c r="A4" s="102" t="s">
        <v>898</v>
      </c>
      <c r="B4" s="103" t="s">
        <v>54</v>
      </c>
      <c r="C4" s="104" t="s">
        <v>289</v>
      </c>
      <c r="D4" s="104" t="s">
        <v>289</v>
      </c>
    </row>
    <row r="5" spans="1:4" x14ac:dyDescent="0.2">
      <c r="A5" s="102" t="s">
        <v>899</v>
      </c>
      <c r="B5" s="103" t="s">
        <v>54</v>
      </c>
      <c r="C5" s="104" t="s">
        <v>289</v>
      </c>
      <c r="D5" s="104" t="s">
        <v>289</v>
      </c>
    </row>
    <row r="6" spans="1:4" x14ac:dyDescent="0.2">
      <c r="A6" s="94" t="s">
        <v>55</v>
      </c>
      <c r="B6" s="95" t="s">
        <v>54</v>
      </c>
      <c r="C6" s="95" t="s">
        <v>290</v>
      </c>
      <c r="D6" s="101" t="s">
        <v>290</v>
      </c>
    </row>
    <row r="7" spans="1:4" x14ac:dyDescent="0.2">
      <c r="A7" s="94" t="s">
        <v>56</v>
      </c>
      <c r="B7" s="95" t="s">
        <v>54</v>
      </c>
      <c r="C7" s="95" t="s">
        <v>291</v>
      </c>
      <c r="D7" s="101" t="s">
        <v>291</v>
      </c>
    </row>
    <row r="8" spans="1:4" x14ac:dyDescent="0.2">
      <c r="A8" s="94" t="s">
        <v>57</v>
      </c>
      <c r="B8" s="95" t="s">
        <v>54</v>
      </c>
      <c r="C8" s="95" t="s">
        <v>292</v>
      </c>
      <c r="D8" s="101" t="s">
        <v>292</v>
      </c>
    </row>
    <row r="9" spans="1:4" x14ac:dyDescent="0.2">
      <c r="A9" s="94" t="s">
        <v>839</v>
      </c>
      <c r="B9" s="95" t="s">
        <v>54</v>
      </c>
      <c r="C9" s="95" t="s">
        <v>292</v>
      </c>
      <c r="D9" s="101" t="s">
        <v>900</v>
      </c>
    </row>
    <row r="10" spans="1:4" x14ac:dyDescent="0.2">
      <c r="A10" s="94" t="s">
        <v>58</v>
      </c>
      <c r="B10" s="95" t="s">
        <v>59</v>
      </c>
      <c r="C10" s="95" t="s">
        <v>293</v>
      </c>
      <c r="D10" s="101" t="s">
        <v>293</v>
      </c>
    </row>
    <row r="11" spans="1:4" x14ac:dyDescent="0.2">
      <c r="A11" s="94" t="s">
        <v>631</v>
      </c>
      <c r="B11" s="95" t="s">
        <v>59</v>
      </c>
      <c r="C11" s="95" t="s">
        <v>293</v>
      </c>
      <c r="D11" s="101" t="s">
        <v>685</v>
      </c>
    </row>
    <row r="12" spans="1:4" x14ac:dyDescent="0.2">
      <c r="A12" s="94" t="s">
        <v>60</v>
      </c>
      <c r="B12" s="95" t="s">
        <v>59</v>
      </c>
      <c r="C12" s="95" t="s">
        <v>294</v>
      </c>
      <c r="D12" s="101" t="s">
        <v>294</v>
      </c>
    </row>
    <row r="13" spans="1:4" x14ac:dyDescent="0.2">
      <c r="A13" s="94" t="s">
        <v>61</v>
      </c>
      <c r="B13" s="95" t="s">
        <v>59</v>
      </c>
      <c r="C13" s="95" t="s">
        <v>295</v>
      </c>
      <c r="D13" s="101" t="s">
        <v>295</v>
      </c>
    </row>
    <row r="14" spans="1:4" x14ac:dyDescent="0.2">
      <c r="A14" s="94" t="s">
        <v>62</v>
      </c>
      <c r="B14" s="95" t="s">
        <v>296</v>
      </c>
      <c r="C14" s="95" t="s">
        <v>297</v>
      </c>
      <c r="D14" s="101" t="s">
        <v>297</v>
      </c>
    </row>
    <row r="15" spans="1:4" x14ac:dyDescent="0.2">
      <c r="A15" s="94" t="s">
        <v>63</v>
      </c>
      <c r="B15" s="95" t="s">
        <v>763</v>
      </c>
      <c r="C15" s="95" t="s">
        <v>300</v>
      </c>
      <c r="D15" s="101" t="s">
        <v>300</v>
      </c>
    </row>
    <row r="16" spans="1:4" x14ac:dyDescent="0.2">
      <c r="A16" s="94" t="s">
        <v>64</v>
      </c>
      <c r="B16" s="95" t="s">
        <v>763</v>
      </c>
      <c r="C16" s="95" t="s">
        <v>901</v>
      </c>
      <c r="D16" s="101" t="s">
        <v>901</v>
      </c>
    </row>
    <row r="17" spans="1:4" x14ac:dyDescent="0.2">
      <c r="A17" s="94" t="s">
        <v>33</v>
      </c>
      <c r="B17" s="95" t="s">
        <v>763</v>
      </c>
      <c r="C17" s="95" t="s">
        <v>489</v>
      </c>
      <c r="D17" s="101" t="s">
        <v>489</v>
      </c>
    </row>
    <row r="18" spans="1:4" x14ac:dyDescent="0.2">
      <c r="A18" s="94" t="s">
        <v>34</v>
      </c>
      <c r="B18" s="95" t="s">
        <v>763</v>
      </c>
      <c r="C18" s="95" t="s">
        <v>489</v>
      </c>
      <c r="D18" s="101" t="s">
        <v>302</v>
      </c>
    </row>
    <row r="19" spans="1:4" x14ac:dyDescent="0.2">
      <c r="A19" s="94" t="s">
        <v>65</v>
      </c>
      <c r="B19" s="95" t="s">
        <v>763</v>
      </c>
      <c r="C19" s="95" t="s">
        <v>489</v>
      </c>
      <c r="D19" s="101" t="s">
        <v>764</v>
      </c>
    </row>
    <row r="20" spans="1:4" x14ac:dyDescent="0.2">
      <c r="A20" s="94" t="s">
        <v>632</v>
      </c>
      <c r="B20" s="95" t="s">
        <v>763</v>
      </c>
      <c r="C20" s="95" t="s">
        <v>489</v>
      </c>
      <c r="D20" s="101" t="s">
        <v>633</v>
      </c>
    </row>
    <row r="21" spans="1:4" x14ac:dyDescent="0.2">
      <c r="A21" s="94" t="s">
        <v>43</v>
      </c>
      <c r="B21" s="95" t="s">
        <v>763</v>
      </c>
      <c r="C21" s="95" t="s">
        <v>303</v>
      </c>
      <c r="D21" s="101" t="s">
        <v>303</v>
      </c>
    </row>
    <row r="22" spans="1:4" ht="14.25" customHeight="1" x14ac:dyDescent="0.2">
      <c r="A22" s="94" t="s">
        <v>304</v>
      </c>
      <c r="B22" s="95" t="s">
        <v>763</v>
      </c>
      <c r="C22" s="95" t="s">
        <v>305</v>
      </c>
      <c r="D22" s="101" t="s">
        <v>305</v>
      </c>
    </row>
    <row r="23" spans="1:4" x14ac:dyDescent="0.2">
      <c r="A23" s="94" t="s">
        <v>612</v>
      </c>
      <c r="B23" s="95" t="s">
        <v>763</v>
      </c>
      <c r="C23" s="95" t="s">
        <v>305</v>
      </c>
      <c r="D23" s="101" t="s">
        <v>613</v>
      </c>
    </row>
    <row r="24" spans="1:4" x14ac:dyDescent="0.2">
      <c r="A24" s="94" t="s">
        <v>306</v>
      </c>
      <c r="B24" s="95" t="s">
        <v>763</v>
      </c>
      <c r="C24" s="95" t="s">
        <v>902</v>
      </c>
      <c r="D24" s="101" t="s">
        <v>903</v>
      </c>
    </row>
    <row r="25" spans="1:4" x14ac:dyDescent="0.2">
      <c r="A25" s="94" t="s">
        <v>307</v>
      </c>
      <c r="B25" s="95" t="s">
        <v>763</v>
      </c>
      <c r="C25" s="95" t="s">
        <v>308</v>
      </c>
      <c r="D25" s="101" t="s">
        <v>308</v>
      </c>
    </row>
    <row r="26" spans="1:4" x14ac:dyDescent="0.2">
      <c r="A26" s="94" t="s">
        <v>487</v>
      </c>
      <c r="B26" s="95" t="s">
        <v>763</v>
      </c>
      <c r="C26" s="95" t="s">
        <v>308</v>
      </c>
      <c r="D26" s="101" t="s">
        <v>298</v>
      </c>
    </row>
    <row r="27" spans="1:4" x14ac:dyDescent="0.2">
      <c r="A27" s="94" t="s">
        <v>488</v>
      </c>
      <c r="B27" s="95" t="s">
        <v>763</v>
      </c>
      <c r="C27" s="95" t="s">
        <v>308</v>
      </c>
      <c r="D27" s="101" t="s">
        <v>299</v>
      </c>
    </row>
    <row r="28" spans="1:4" x14ac:dyDescent="0.2">
      <c r="A28" s="94" t="s">
        <v>614</v>
      </c>
      <c r="B28" s="95" t="s">
        <v>763</v>
      </c>
      <c r="C28" s="95" t="s">
        <v>308</v>
      </c>
      <c r="D28" s="101" t="s">
        <v>615</v>
      </c>
    </row>
    <row r="29" spans="1:4" x14ac:dyDescent="0.2">
      <c r="A29" s="94" t="s">
        <v>309</v>
      </c>
      <c r="B29" s="95" t="s">
        <v>763</v>
      </c>
      <c r="C29" s="95" t="s">
        <v>310</v>
      </c>
      <c r="D29" s="101" t="s">
        <v>310</v>
      </c>
    </row>
    <row r="30" spans="1:4" x14ac:dyDescent="0.2">
      <c r="A30" s="94" t="s">
        <v>904</v>
      </c>
      <c r="B30" s="95" t="s">
        <v>763</v>
      </c>
      <c r="C30" s="95" t="s">
        <v>310</v>
      </c>
      <c r="D30" s="101" t="s">
        <v>856</v>
      </c>
    </row>
    <row r="31" spans="1:4" x14ac:dyDescent="0.2">
      <c r="A31" s="94" t="s">
        <v>311</v>
      </c>
      <c r="B31" s="95" t="s">
        <v>763</v>
      </c>
      <c r="C31" s="95" t="s">
        <v>312</v>
      </c>
      <c r="D31" s="101" t="s">
        <v>312</v>
      </c>
    </row>
    <row r="32" spans="1:4" x14ac:dyDescent="0.2">
      <c r="A32" s="94" t="s">
        <v>313</v>
      </c>
      <c r="B32" s="95" t="s">
        <v>763</v>
      </c>
      <c r="C32" s="95" t="s">
        <v>314</v>
      </c>
      <c r="D32" s="101" t="s">
        <v>314</v>
      </c>
    </row>
    <row r="33" spans="1:4" x14ac:dyDescent="0.2">
      <c r="A33" s="94" t="s">
        <v>857</v>
      </c>
      <c r="B33" s="95" t="s">
        <v>763</v>
      </c>
      <c r="C33" s="95" t="s">
        <v>858</v>
      </c>
      <c r="D33" s="101" t="s">
        <v>858</v>
      </c>
    </row>
    <row r="34" spans="1:4" x14ac:dyDescent="0.2">
      <c r="A34" s="94" t="s">
        <v>1023</v>
      </c>
      <c r="B34" s="95" t="s">
        <v>763</v>
      </c>
      <c r="C34" s="95" t="s">
        <v>1024</v>
      </c>
      <c r="D34" s="101" t="s">
        <v>1024</v>
      </c>
    </row>
    <row r="35" spans="1:4" x14ac:dyDescent="0.2">
      <c r="A35" s="94" t="s">
        <v>66</v>
      </c>
      <c r="B35" s="95" t="s">
        <v>67</v>
      </c>
      <c r="C35" s="95" t="s">
        <v>316</v>
      </c>
      <c r="D35" s="101" t="s">
        <v>316</v>
      </c>
    </row>
    <row r="36" spans="1:4" x14ac:dyDescent="0.2">
      <c r="A36" s="94" t="s">
        <v>68</v>
      </c>
      <c r="B36" s="95" t="s">
        <v>67</v>
      </c>
      <c r="C36" s="95" t="s">
        <v>317</v>
      </c>
      <c r="D36" s="101" t="s">
        <v>317</v>
      </c>
    </row>
    <row r="37" spans="1:4" x14ac:dyDescent="0.2">
      <c r="A37" s="94" t="s">
        <v>69</v>
      </c>
      <c r="B37" s="95" t="s">
        <v>67</v>
      </c>
      <c r="C37" s="95" t="s">
        <v>318</v>
      </c>
      <c r="D37" s="101" t="s">
        <v>318</v>
      </c>
    </row>
    <row r="38" spans="1:4" x14ac:dyDescent="0.2">
      <c r="A38" s="94" t="s">
        <v>70</v>
      </c>
      <c r="B38" s="95" t="s">
        <v>67</v>
      </c>
      <c r="C38" s="95" t="s">
        <v>905</v>
      </c>
      <c r="D38" s="101" t="s">
        <v>905</v>
      </c>
    </row>
    <row r="39" spans="1:4" x14ac:dyDescent="0.2">
      <c r="A39" s="94" t="s">
        <v>778</v>
      </c>
      <c r="B39" s="95" t="s">
        <v>67</v>
      </c>
      <c r="C39" s="95" t="s">
        <v>906</v>
      </c>
      <c r="D39" s="101" t="s">
        <v>906</v>
      </c>
    </row>
    <row r="40" spans="1:4" x14ac:dyDescent="0.2">
      <c r="A40" s="94" t="s">
        <v>779</v>
      </c>
      <c r="B40" s="95" t="s">
        <v>67</v>
      </c>
      <c r="C40" s="95" t="s">
        <v>907</v>
      </c>
      <c r="D40" s="101" t="s">
        <v>907</v>
      </c>
    </row>
    <row r="41" spans="1:4" x14ac:dyDescent="0.2">
      <c r="A41" s="94" t="s">
        <v>71</v>
      </c>
      <c r="B41" s="95" t="s">
        <v>319</v>
      </c>
      <c r="C41" s="95" t="s">
        <v>320</v>
      </c>
      <c r="D41" s="101" t="s">
        <v>320</v>
      </c>
    </row>
    <row r="42" spans="1:4" x14ac:dyDescent="0.2">
      <c r="A42" s="94" t="s">
        <v>72</v>
      </c>
      <c r="B42" s="95" t="s">
        <v>319</v>
      </c>
      <c r="C42" s="95" t="s">
        <v>320</v>
      </c>
      <c r="D42" s="101" t="s">
        <v>908</v>
      </c>
    </row>
    <row r="43" spans="1:4" x14ac:dyDescent="0.2">
      <c r="A43" s="94" t="s">
        <v>909</v>
      </c>
      <c r="B43" s="95" t="s">
        <v>319</v>
      </c>
      <c r="C43" s="95" t="s">
        <v>320</v>
      </c>
      <c r="D43" s="101" t="s">
        <v>889</v>
      </c>
    </row>
    <row r="44" spans="1:4" x14ac:dyDescent="0.2">
      <c r="A44" s="94" t="s">
        <v>73</v>
      </c>
      <c r="B44" s="95" t="s">
        <v>319</v>
      </c>
      <c r="C44" s="95" t="s">
        <v>321</v>
      </c>
      <c r="D44" s="101" t="s">
        <v>321</v>
      </c>
    </row>
    <row r="45" spans="1:4" x14ac:dyDescent="0.2">
      <c r="A45" s="94" t="s">
        <v>74</v>
      </c>
      <c r="B45" s="95" t="s">
        <v>319</v>
      </c>
      <c r="C45" s="95" t="s">
        <v>616</v>
      </c>
      <c r="D45" s="101" t="s">
        <v>616</v>
      </c>
    </row>
    <row r="46" spans="1:4" x14ac:dyDescent="0.2">
      <c r="A46" s="94" t="s">
        <v>75</v>
      </c>
      <c r="B46" s="95" t="s">
        <v>319</v>
      </c>
      <c r="C46" s="95" t="s">
        <v>617</v>
      </c>
      <c r="D46" s="101" t="s">
        <v>617</v>
      </c>
    </row>
    <row r="47" spans="1:4" x14ac:dyDescent="0.2">
      <c r="A47" s="94" t="s">
        <v>76</v>
      </c>
      <c r="B47" s="95" t="s">
        <v>319</v>
      </c>
      <c r="C47" s="95" t="s">
        <v>322</v>
      </c>
      <c r="D47" s="101" t="s">
        <v>322</v>
      </c>
    </row>
    <row r="48" spans="1:4" x14ac:dyDescent="0.2">
      <c r="A48" s="94" t="s">
        <v>675</v>
      </c>
      <c r="B48" s="95" t="s">
        <v>319</v>
      </c>
      <c r="C48" s="95" t="s">
        <v>322</v>
      </c>
      <c r="D48" s="101" t="s">
        <v>780</v>
      </c>
    </row>
    <row r="49" spans="1:4" x14ac:dyDescent="0.2">
      <c r="A49" s="94" t="s">
        <v>676</v>
      </c>
      <c r="B49" s="95" t="s">
        <v>319</v>
      </c>
      <c r="C49" s="95" t="s">
        <v>322</v>
      </c>
      <c r="D49" s="101" t="s">
        <v>781</v>
      </c>
    </row>
    <row r="50" spans="1:4" x14ac:dyDescent="0.2">
      <c r="A50" s="94" t="s">
        <v>677</v>
      </c>
      <c r="B50" s="95" t="s">
        <v>319</v>
      </c>
      <c r="C50" s="95" t="s">
        <v>322</v>
      </c>
      <c r="D50" s="101" t="s">
        <v>782</v>
      </c>
    </row>
    <row r="51" spans="1:4" x14ac:dyDescent="0.2">
      <c r="A51" s="94" t="s">
        <v>892</v>
      </c>
      <c r="B51" s="95" t="s">
        <v>319</v>
      </c>
      <c r="C51" s="95" t="s">
        <v>322</v>
      </c>
      <c r="D51" s="101" t="s">
        <v>322</v>
      </c>
    </row>
    <row r="52" spans="1:4" x14ac:dyDescent="0.2">
      <c r="A52" s="94" t="s">
        <v>678</v>
      </c>
      <c r="B52" s="95" t="s">
        <v>319</v>
      </c>
      <c r="C52" s="95" t="s">
        <v>322</v>
      </c>
      <c r="D52" s="101" t="s">
        <v>783</v>
      </c>
    </row>
    <row r="53" spans="1:4" x14ac:dyDescent="0.2">
      <c r="A53" s="94" t="s">
        <v>886</v>
      </c>
      <c r="B53" s="95" t="s">
        <v>319</v>
      </c>
      <c r="C53" s="95" t="s">
        <v>322</v>
      </c>
      <c r="D53" s="101" t="s">
        <v>888</v>
      </c>
    </row>
    <row r="54" spans="1:4" x14ac:dyDescent="0.2">
      <c r="A54" s="94" t="s">
        <v>887</v>
      </c>
      <c r="B54" s="95" t="s">
        <v>319</v>
      </c>
      <c r="C54" s="95" t="s">
        <v>322</v>
      </c>
      <c r="D54" s="101" t="s">
        <v>889</v>
      </c>
    </row>
    <row r="55" spans="1:4" x14ac:dyDescent="0.2">
      <c r="A55" s="94" t="s">
        <v>77</v>
      </c>
      <c r="B55" s="95" t="s">
        <v>319</v>
      </c>
      <c r="C55" s="95" t="s">
        <v>323</v>
      </c>
      <c r="D55" s="101" t="s">
        <v>323</v>
      </c>
    </row>
    <row r="56" spans="1:4" x14ac:dyDescent="0.2">
      <c r="A56" s="94" t="s">
        <v>687</v>
      </c>
      <c r="B56" s="95" t="s">
        <v>319</v>
      </c>
      <c r="C56" s="95" t="s">
        <v>323</v>
      </c>
      <c r="D56" s="101" t="s">
        <v>784</v>
      </c>
    </row>
    <row r="57" spans="1:4" x14ac:dyDescent="0.2">
      <c r="A57" s="94" t="s">
        <v>910</v>
      </c>
      <c r="B57" s="95" t="s">
        <v>319</v>
      </c>
      <c r="C57" s="95" t="s">
        <v>323</v>
      </c>
      <c r="D57" s="101" t="s">
        <v>911</v>
      </c>
    </row>
    <row r="58" spans="1:4" x14ac:dyDescent="0.2">
      <c r="A58" s="94" t="s">
        <v>78</v>
      </c>
      <c r="B58" s="95" t="s">
        <v>319</v>
      </c>
      <c r="C58" s="95" t="s">
        <v>324</v>
      </c>
      <c r="D58" s="101" t="s">
        <v>324</v>
      </c>
    </row>
    <row r="59" spans="1:4" x14ac:dyDescent="0.2">
      <c r="A59" s="94" t="s">
        <v>79</v>
      </c>
      <c r="B59" s="95" t="s">
        <v>319</v>
      </c>
      <c r="C59" s="95" t="s">
        <v>325</v>
      </c>
      <c r="D59" s="101" t="s">
        <v>325</v>
      </c>
    </row>
    <row r="60" spans="1:4" x14ac:dyDescent="0.2">
      <c r="A60" s="94" t="s">
        <v>688</v>
      </c>
      <c r="B60" s="95" t="s">
        <v>319</v>
      </c>
      <c r="C60" s="95" t="s">
        <v>325</v>
      </c>
      <c r="D60" s="101" t="s">
        <v>912</v>
      </c>
    </row>
    <row r="61" spans="1:4" x14ac:dyDescent="0.2">
      <c r="A61" s="94" t="s">
        <v>80</v>
      </c>
      <c r="B61" s="95" t="s">
        <v>319</v>
      </c>
      <c r="C61" s="95" t="s">
        <v>326</v>
      </c>
      <c r="D61" s="101" t="s">
        <v>326</v>
      </c>
    </row>
    <row r="62" spans="1:4" x14ac:dyDescent="0.2">
      <c r="A62" s="94" t="s">
        <v>81</v>
      </c>
      <c r="B62" s="95" t="s">
        <v>319</v>
      </c>
      <c r="C62" s="95" t="s">
        <v>327</v>
      </c>
      <c r="D62" s="101" t="s">
        <v>327</v>
      </c>
    </row>
    <row r="63" spans="1:4" x14ac:dyDescent="0.2">
      <c r="A63" s="94" t="s">
        <v>82</v>
      </c>
      <c r="B63" s="95" t="s">
        <v>319</v>
      </c>
      <c r="C63" s="95" t="s">
        <v>689</v>
      </c>
      <c r="D63" s="101" t="s">
        <v>689</v>
      </c>
    </row>
    <row r="64" spans="1:4" s="55" customFormat="1" x14ac:dyDescent="0.2">
      <c r="A64" s="94" t="s">
        <v>83</v>
      </c>
      <c r="B64" s="95" t="s">
        <v>319</v>
      </c>
      <c r="C64" s="95" t="s">
        <v>490</v>
      </c>
      <c r="D64" s="101" t="s">
        <v>490</v>
      </c>
    </row>
    <row r="65" spans="1:4" x14ac:dyDescent="0.2">
      <c r="A65" s="94" t="s">
        <v>84</v>
      </c>
      <c r="B65" s="95" t="s">
        <v>319</v>
      </c>
      <c r="C65" s="95" t="s">
        <v>328</v>
      </c>
      <c r="D65" s="101" t="s">
        <v>328</v>
      </c>
    </row>
    <row r="66" spans="1:4" x14ac:dyDescent="0.2">
      <c r="A66" s="94" t="s">
        <v>634</v>
      </c>
      <c r="B66" s="95" t="s">
        <v>319</v>
      </c>
      <c r="C66" s="95" t="s">
        <v>635</v>
      </c>
      <c r="D66" s="101" t="s">
        <v>635</v>
      </c>
    </row>
    <row r="67" spans="1:4" x14ac:dyDescent="0.2">
      <c r="A67" s="94" t="s">
        <v>785</v>
      </c>
      <c r="B67" s="95" t="s">
        <v>319</v>
      </c>
      <c r="C67" s="95" t="s">
        <v>913</v>
      </c>
      <c r="D67" s="101" t="s">
        <v>913</v>
      </c>
    </row>
    <row r="68" spans="1:4" x14ac:dyDescent="0.2">
      <c r="A68" s="94" t="s">
        <v>85</v>
      </c>
      <c r="B68" s="95" t="s">
        <v>86</v>
      </c>
      <c r="C68" s="95" t="s">
        <v>914</v>
      </c>
      <c r="D68" s="101" t="s">
        <v>914</v>
      </c>
    </row>
    <row r="69" spans="1:4" x14ac:dyDescent="0.2">
      <c r="A69" s="94" t="s">
        <v>87</v>
      </c>
      <c r="B69" s="95" t="s">
        <v>86</v>
      </c>
      <c r="C69" s="95" t="s">
        <v>914</v>
      </c>
      <c r="D69" s="101" t="s">
        <v>786</v>
      </c>
    </row>
    <row r="70" spans="1:4" x14ac:dyDescent="0.2">
      <c r="A70" s="94" t="s">
        <v>712</v>
      </c>
      <c r="B70" s="95" t="s">
        <v>86</v>
      </c>
      <c r="C70" s="95" t="s">
        <v>914</v>
      </c>
      <c r="D70" s="101" t="s">
        <v>915</v>
      </c>
    </row>
    <row r="71" spans="1:4" x14ac:dyDescent="0.2">
      <c r="A71" s="94" t="s">
        <v>690</v>
      </c>
      <c r="B71" s="95" t="s">
        <v>86</v>
      </c>
      <c r="C71" s="95" t="s">
        <v>914</v>
      </c>
      <c r="D71" s="101" t="s">
        <v>916</v>
      </c>
    </row>
    <row r="72" spans="1:4" x14ac:dyDescent="0.2">
      <c r="A72" s="94" t="s">
        <v>691</v>
      </c>
      <c r="B72" s="95" t="s">
        <v>86</v>
      </c>
      <c r="C72" s="95" t="s">
        <v>914</v>
      </c>
      <c r="D72" s="101" t="s">
        <v>692</v>
      </c>
    </row>
    <row r="73" spans="1:4" x14ac:dyDescent="0.2">
      <c r="A73" s="94" t="s">
        <v>859</v>
      </c>
      <c r="B73" s="95" t="s">
        <v>86</v>
      </c>
      <c r="C73" s="95" t="s">
        <v>914</v>
      </c>
      <c r="D73" s="101" t="s">
        <v>847</v>
      </c>
    </row>
    <row r="74" spans="1:4" x14ac:dyDescent="0.2">
      <c r="A74" s="94" t="s">
        <v>88</v>
      </c>
      <c r="B74" s="95" t="s">
        <v>86</v>
      </c>
      <c r="C74" s="95" t="s">
        <v>330</v>
      </c>
      <c r="D74" s="101" t="s">
        <v>330</v>
      </c>
    </row>
    <row r="75" spans="1:4" x14ac:dyDescent="0.2">
      <c r="A75" s="94" t="s">
        <v>787</v>
      </c>
      <c r="B75" s="95" t="s">
        <v>86</v>
      </c>
      <c r="C75" s="95" t="s">
        <v>330</v>
      </c>
      <c r="D75" s="101" t="s">
        <v>788</v>
      </c>
    </row>
    <row r="76" spans="1:4" x14ac:dyDescent="0.2">
      <c r="A76" s="94" t="s">
        <v>30</v>
      </c>
      <c r="B76" s="95" t="s">
        <v>86</v>
      </c>
      <c r="C76" s="95" t="s">
        <v>331</v>
      </c>
      <c r="D76" s="101" t="s">
        <v>331</v>
      </c>
    </row>
    <row r="77" spans="1:4" x14ac:dyDescent="0.2">
      <c r="A77" s="94" t="s">
        <v>27</v>
      </c>
      <c r="B77" s="95" t="s">
        <v>86</v>
      </c>
      <c r="C77" s="95" t="s">
        <v>332</v>
      </c>
      <c r="D77" s="101" t="s">
        <v>332</v>
      </c>
    </row>
    <row r="78" spans="1:4" x14ac:dyDescent="0.2">
      <c r="A78" s="94" t="s">
        <v>31</v>
      </c>
      <c r="B78" s="95" t="s">
        <v>86</v>
      </c>
      <c r="C78" s="95" t="s">
        <v>333</v>
      </c>
      <c r="D78" s="101" t="s">
        <v>333</v>
      </c>
    </row>
    <row r="79" spans="1:4" x14ac:dyDescent="0.2">
      <c r="A79" s="94" t="s">
        <v>28</v>
      </c>
      <c r="B79" s="95" t="s">
        <v>86</v>
      </c>
      <c r="C79" s="95" t="s">
        <v>334</v>
      </c>
      <c r="D79" s="101" t="s">
        <v>334</v>
      </c>
    </row>
    <row r="80" spans="1:4" x14ac:dyDescent="0.2">
      <c r="A80" s="94" t="s">
        <v>29</v>
      </c>
      <c r="B80" s="95" t="s">
        <v>86</v>
      </c>
      <c r="C80" s="95" t="s">
        <v>335</v>
      </c>
      <c r="D80" s="101" t="s">
        <v>335</v>
      </c>
    </row>
    <row r="81" spans="1:4" x14ac:dyDescent="0.2">
      <c r="A81" s="94" t="s">
        <v>89</v>
      </c>
      <c r="B81" s="95" t="s">
        <v>86</v>
      </c>
      <c r="C81" s="95" t="s">
        <v>336</v>
      </c>
      <c r="D81" s="101" t="s">
        <v>336</v>
      </c>
    </row>
    <row r="82" spans="1:4" x14ac:dyDescent="0.2">
      <c r="A82" s="94" t="s">
        <v>40</v>
      </c>
      <c r="B82" s="95" t="s">
        <v>86</v>
      </c>
      <c r="C82" s="95" t="s">
        <v>337</v>
      </c>
      <c r="D82" s="101" t="s">
        <v>337</v>
      </c>
    </row>
    <row r="83" spans="1:4" x14ac:dyDescent="0.2">
      <c r="A83" s="94" t="s">
        <v>90</v>
      </c>
      <c r="B83" s="95" t="s">
        <v>86</v>
      </c>
      <c r="C83" s="95" t="s">
        <v>338</v>
      </c>
      <c r="D83" s="101" t="s">
        <v>338</v>
      </c>
    </row>
    <row r="84" spans="1:4" x14ac:dyDescent="0.2">
      <c r="A84" s="94" t="s">
        <v>713</v>
      </c>
      <c r="B84" s="95" t="s">
        <v>86</v>
      </c>
      <c r="C84" s="95" t="s">
        <v>714</v>
      </c>
      <c r="D84" s="101" t="s">
        <v>714</v>
      </c>
    </row>
    <row r="85" spans="1:4" x14ac:dyDescent="0.2">
      <c r="A85" s="94" t="s">
        <v>917</v>
      </c>
      <c r="B85" s="95" t="s">
        <v>86</v>
      </c>
      <c r="C85" s="95" t="s">
        <v>851</v>
      </c>
      <c r="D85" s="101" t="s">
        <v>851</v>
      </c>
    </row>
    <row r="86" spans="1:4" x14ac:dyDescent="0.2">
      <c r="A86" s="94" t="s">
        <v>708</v>
      </c>
      <c r="B86" s="95" t="s">
        <v>339</v>
      </c>
      <c r="C86" s="95" t="s">
        <v>340</v>
      </c>
      <c r="D86" s="101" t="s">
        <v>340</v>
      </c>
    </row>
    <row r="87" spans="1:4" x14ac:dyDescent="0.2">
      <c r="A87" s="94" t="s">
        <v>91</v>
      </c>
      <c r="B87" s="95" t="s">
        <v>339</v>
      </c>
      <c r="C87" s="95" t="s">
        <v>340</v>
      </c>
      <c r="D87" s="101" t="s">
        <v>341</v>
      </c>
    </row>
    <row r="88" spans="1:4" x14ac:dyDescent="0.2">
      <c r="A88" s="94" t="s">
        <v>92</v>
      </c>
      <c r="B88" s="95" t="s">
        <v>339</v>
      </c>
      <c r="C88" s="95" t="s">
        <v>340</v>
      </c>
      <c r="D88" s="101" t="s">
        <v>693</v>
      </c>
    </row>
    <row r="89" spans="1:4" x14ac:dyDescent="0.2">
      <c r="A89" s="94" t="s">
        <v>93</v>
      </c>
      <c r="B89" s="95" t="s">
        <v>339</v>
      </c>
      <c r="C89" s="95" t="s">
        <v>340</v>
      </c>
      <c r="D89" s="101" t="s">
        <v>342</v>
      </c>
    </row>
    <row r="90" spans="1:4" x14ac:dyDescent="0.2">
      <c r="A90" s="94" t="s">
        <v>94</v>
      </c>
      <c r="B90" s="95" t="s">
        <v>339</v>
      </c>
      <c r="C90" s="95" t="s">
        <v>340</v>
      </c>
      <c r="D90" s="101" t="s">
        <v>343</v>
      </c>
    </row>
    <row r="91" spans="1:4" x14ac:dyDescent="0.2">
      <c r="A91" s="94" t="s">
        <v>95</v>
      </c>
      <c r="B91" s="95" t="s">
        <v>339</v>
      </c>
      <c r="C91" s="95" t="s">
        <v>340</v>
      </c>
      <c r="D91" s="101" t="s">
        <v>344</v>
      </c>
    </row>
    <row r="92" spans="1:4" x14ac:dyDescent="0.2">
      <c r="A92" s="94" t="s">
        <v>526</v>
      </c>
      <c r="B92" s="95" t="s">
        <v>339</v>
      </c>
      <c r="C92" s="95" t="s">
        <v>637</v>
      </c>
      <c r="D92" s="101" t="s">
        <v>637</v>
      </c>
    </row>
    <row r="93" spans="1:4" x14ac:dyDescent="0.2">
      <c r="A93" s="94" t="s">
        <v>527</v>
      </c>
      <c r="B93" s="95" t="s">
        <v>339</v>
      </c>
      <c r="C93" s="95" t="s">
        <v>528</v>
      </c>
      <c r="D93" s="101" t="s">
        <v>528</v>
      </c>
    </row>
    <row r="94" spans="1:4" x14ac:dyDescent="0.2">
      <c r="A94" s="94" t="s">
        <v>652</v>
      </c>
      <c r="B94" s="95" t="s">
        <v>339</v>
      </c>
      <c r="C94" s="95" t="s">
        <v>653</v>
      </c>
      <c r="D94" s="101" t="s">
        <v>653</v>
      </c>
    </row>
    <row r="95" spans="1:4" x14ac:dyDescent="0.2">
      <c r="A95" s="94" t="s">
        <v>96</v>
      </c>
      <c r="B95" s="95" t="s">
        <v>339</v>
      </c>
      <c r="C95" s="95" t="s">
        <v>345</v>
      </c>
      <c r="D95" s="101" t="s">
        <v>345</v>
      </c>
    </row>
    <row r="96" spans="1:4" x14ac:dyDescent="0.2">
      <c r="A96" s="94" t="s">
        <v>97</v>
      </c>
      <c r="B96" s="95" t="s">
        <v>339</v>
      </c>
      <c r="C96" s="95" t="s">
        <v>345</v>
      </c>
      <c r="D96" s="101" t="s">
        <v>346</v>
      </c>
    </row>
    <row r="97" spans="1:4" x14ac:dyDescent="0.2">
      <c r="A97" s="94" t="s">
        <v>98</v>
      </c>
      <c r="B97" s="95" t="s">
        <v>339</v>
      </c>
      <c r="C97" s="95" t="s">
        <v>345</v>
      </c>
      <c r="D97" s="101" t="s">
        <v>347</v>
      </c>
    </row>
    <row r="98" spans="1:4" x14ac:dyDescent="0.2">
      <c r="A98" s="94" t="s">
        <v>99</v>
      </c>
      <c r="B98" s="95" t="s">
        <v>339</v>
      </c>
      <c r="C98" s="95" t="s">
        <v>348</v>
      </c>
      <c r="D98" s="101" t="s">
        <v>348</v>
      </c>
    </row>
    <row r="99" spans="1:4" x14ac:dyDescent="0.2">
      <c r="A99" s="94" t="s">
        <v>100</v>
      </c>
      <c r="B99" s="95" t="s">
        <v>339</v>
      </c>
      <c r="C99" s="95" t="s">
        <v>348</v>
      </c>
      <c r="D99" s="101" t="s">
        <v>918</v>
      </c>
    </row>
    <row r="100" spans="1:4" x14ac:dyDescent="0.2">
      <c r="A100" s="94" t="s">
        <v>101</v>
      </c>
      <c r="B100" s="95" t="s">
        <v>339</v>
      </c>
      <c r="C100" s="95" t="s">
        <v>349</v>
      </c>
      <c r="D100" s="101" t="s">
        <v>349</v>
      </c>
    </row>
    <row r="101" spans="1:4" x14ac:dyDescent="0.2">
      <c r="A101" s="94" t="s">
        <v>102</v>
      </c>
      <c r="B101" s="95" t="s">
        <v>339</v>
      </c>
      <c r="C101" s="95" t="s">
        <v>350</v>
      </c>
      <c r="D101" s="101" t="s">
        <v>350</v>
      </c>
    </row>
    <row r="102" spans="1:4" x14ac:dyDescent="0.2">
      <c r="A102" s="94" t="s">
        <v>709</v>
      </c>
      <c r="B102" s="95" t="s">
        <v>339</v>
      </c>
      <c r="C102" s="95" t="s">
        <v>694</v>
      </c>
      <c r="D102" s="101" t="s">
        <v>694</v>
      </c>
    </row>
    <row r="103" spans="1:4" x14ac:dyDescent="0.2">
      <c r="A103" s="94" t="s">
        <v>710</v>
      </c>
      <c r="B103" s="95" t="s">
        <v>339</v>
      </c>
      <c r="C103" s="95" t="s">
        <v>694</v>
      </c>
      <c r="D103" s="101" t="s">
        <v>636</v>
      </c>
    </row>
    <row r="104" spans="1:4" x14ac:dyDescent="0.2">
      <c r="A104" s="94" t="s">
        <v>711</v>
      </c>
      <c r="B104" s="95" t="s">
        <v>339</v>
      </c>
      <c r="C104" s="95" t="s">
        <v>694</v>
      </c>
      <c r="D104" s="101" t="s">
        <v>695</v>
      </c>
    </row>
    <row r="105" spans="1:4" x14ac:dyDescent="0.2">
      <c r="A105" s="94" t="s">
        <v>789</v>
      </c>
      <c r="B105" s="95" t="s">
        <v>339</v>
      </c>
      <c r="C105" s="95" t="s">
        <v>919</v>
      </c>
      <c r="D105" s="101" t="s">
        <v>919</v>
      </c>
    </row>
    <row r="106" spans="1:4" x14ac:dyDescent="0.2">
      <c r="A106" s="94" t="s">
        <v>814</v>
      </c>
      <c r="B106" s="95" t="s">
        <v>339</v>
      </c>
      <c r="C106" s="95" t="s">
        <v>919</v>
      </c>
      <c r="D106" s="101" t="s">
        <v>920</v>
      </c>
    </row>
    <row r="107" spans="1:4" x14ac:dyDescent="0.2">
      <c r="A107" s="94" t="s">
        <v>815</v>
      </c>
      <c r="B107" s="95" t="s">
        <v>339</v>
      </c>
      <c r="C107" s="95" t="s">
        <v>919</v>
      </c>
      <c r="D107" s="101" t="s">
        <v>816</v>
      </c>
    </row>
    <row r="108" spans="1:4" x14ac:dyDescent="0.2">
      <c r="A108" s="94" t="s">
        <v>790</v>
      </c>
      <c r="B108" s="95" t="s">
        <v>339</v>
      </c>
      <c r="C108" s="95" t="s">
        <v>791</v>
      </c>
      <c r="D108" s="101" t="s">
        <v>791</v>
      </c>
    </row>
    <row r="109" spans="1:4" x14ac:dyDescent="0.2">
      <c r="A109" s="94" t="s">
        <v>103</v>
      </c>
      <c r="B109" s="95" t="s">
        <v>792</v>
      </c>
      <c r="C109" s="95" t="s">
        <v>914</v>
      </c>
      <c r="D109" s="101" t="s">
        <v>914</v>
      </c>
    </row>
    <row r="110" spans="1:4" x14ac:dyDescent="0.2">
      <c r="A110" s="94" t="s">
        <v>104</v>
      </c>
      <c r="B110" s="95" t="s">
        <v>792</v>
      </c>
      <c r="C110" s="95" t="s">
        <v>914</v>
      </c>
      <c r="D110" s="101" t="s">
        <v>696</v>
      </c>
    </row>
    <row r="111" spans="1:4" x14ac:dyDescent="0.2">
      <c r="A111" s="94" t="s">
        <v>105</v>
      </c>
      <c r="B111" s="95" t="s">
        <v>792</v>
      </c>
      <c r="C111" s="95" t="s">
        <v>618</v>
      </c>
      <c r="D111" s="101" t="s">
        <v>618</v>
      </c>
    </row>
    <row r="112" spans="1:4" x14ac:dyDescent="0.2">
      <c r="A112" s="94" t="s">
        <v>106</v>
      </c>
      <c r="B112" s="95" t="s">
        <v>792</v>
      </c>
      <c r="C112" s="95" t="s">
        <v>352</v>
      </c>
      <c r="D112" s="101" t="s">
        <v>352</v>
      </c>
    </row>
    <row r="113" spans="1:4" x14ac:dyDescent="0.2">
      <c r="A113" s="94" t="s">
        <v>107</v>
      </c>
      <c r="B113" s="95" t="s">
        <v>792</v>
      </c>
      <c r="C113" s="95" t="s">
        <v>353</v>
      </c>
      <c r="D113" s="101" t="s">
        <v>353</v>
      </c>
    </row>
    <row r="114" spans="1:4" x14ac:dyDescent="0.2">
      <c r="A114" s="94" t="s">
        <v>108</v>
      </c>
      <c r="B114" s="95" t="s">
        <v>792</v>
      </c>
      <c r="C114" s="95" t="s">
        <v>353</v>
      </c>
      <c r="D114" s="101" t="s">
        <v>354</v>
      </c>
    </row>
    <row r="115" spans="1:4" x14ac:dyDescent="0.2">
      <c r="A115" s="94" t="s">
        <v>679</v>
      </c>
      <c r="B115" s="95" t="s">
        <v>792</v>
      </c>
      <c r="C115" s="95" t="s">
        <v>680</v>
      </c>
      <c r="D115" s="101" t="s">
        <v>680</v>
      </c>
    </row>
    <row r="116" spans="1:4" x14ac:dyDescent="0.2">
      <c r="A116" s="94" t="s">
        <v>109</v>
      </c>
      <c r="B116" s="95" t="s">
        <v>792</v>
      </c>
      <c r="C116" s="95" t="s">
        <v>355</v>
      </c>
      <c r="D116" s="101" t="s">
        <v>355</v>
      </c>
    </row>
    <row r="117" spans="1:4" x14ac:dyDescent="0.2">
      <c r="A117" s="94" t="s">
        <v>110</v>
      </c>
      <c r="B117" s="95" t="s">
        <v>792</v>
      </c>
      <c r="C117" s="95" t="s">
        <v>355</v>
      </c>
      <c r="D117" s="101" t="s">
        <v>356</v>
      </c>
    </row>
    <row r="118" spans="1:4" x14ac:dyDescent="0.2">
      <c r="A118" s="94" t="s">
        <v>111</v>
      </c>
      <c r="B118" s="95" t="s">
        <v>792</v>
      </c>
      <c r="C118" s="95" t="s">
        <v>357</v>
      </c>
      <c r="D118" s="101" t="s">
        <v>357</v>
      </c>
    </row>
    <row r="119" spans="1:4" x14ac:dyDescent="0.2">
      <c r="A119" s="94" t="s">
        <v>890</v>
      </c>
      <c r="B119" s="95" t="s">
        <v>792</v>
      </c>
      <c r="C119" s="95" t="s">
        <v>891</v>
      </c>
      <c r="D119" s="101" t="s">
        <v>891</v>
      </c>
    </row>
    <row r="120" spans="1:4" x14ac:dyDescent="0.2">
      <c r="A120" s="94" t="s">
        <v>921</v>
      </c>
      <c r="B120" s="95" t="s">
        <v>792</v>
      </c>
      <c r="C120" s="95" t="s">
        <v>891</v>
      </c>
      <c r="D120" s="101" t="s">
        <v>922</v>
      </c>
    </row>
    <row r="121" spans="1:4" x14ac:dyDescent="0.2">
      <c r="A121" s="94" t="s">
        <v>358</v>
      </c>
      <c r="B121" s="95" t="s">
        <v>112</v>
      </c>
      <c r="C121" s="95" t="s">
        <v>359</v>
      </c>
      <c r="D121" s="101" t="s">
        <v>359</v>
      </c>
    </row>
    <row r="122" spans="1:4" x14ac:dyDescent="0.2">
      <c r="A122" s="94" t="s">
        <v>360</v>
      </c>
      <c r="B122" s="95" t="s">
        <v>112</v>
      </c>
      <c r="C122" s="95" t="s">
        <v>638</v>
      </c>
      <c r="D122" s="101" t="s">
        <v>638</v>
      </c>
    </row>
    <row r="123" spans="1:4" x14ac:dyDescent="0.2">
      <c r="A123" s="94" t="s">
        <v>361</v>
      </c>
      <c r="B123" s="95" t="s">
        <v>112</v>
      </c>
      <c r="C123" s="95" t="s">
        <v>639</v>
      </c>
      <c r="D123" s="101" t="s">
        <v>639</v>
      </c>
    </row>
    <row r="124" spans="1:4" x14ac:dyDescent="0.2">
      <c r="A124" s="94" t="s">
        <v>362</v>
      </c>
      <c r="B124" s="95" t="s">
        <v>112</v>
      </c>
      <c r="C124" s="95" t="s">
        <v>363</v>
      </c>
      <c r="D124" s="101" t="s">
        <v>363</v>
      </c>
    </row>
    <row r="125" spans="1:4" x14ac:dyDescent="0.2">
      <c r="A125" s="94" t="s">
        <v>364</v>
      </c>
      <c r="B125" s="95" t="s">
        <v>112</v>
      </c>
      <c r="C125" s="95" t="s">
        <v>793</v>
      </c>
      <c r="D125" s="101" t="s">
        <v>793</v>
      </c>
    </row>
    <row r="126" spans="1:4" x14ac:dyDescent="0.2">
      <c r="A126" s="94" t="s">
        <v>365</v>
      </c>
      <c r="B126" s="95" t="s">
        <v>112</v>
      </c>
      <c r="C126" s="95" t="s">
        <v>366</v>
      </c>
      <c r="D126" s="101" t="s">
        <v>366</v>
      </c>
    </row>
    <row r="127" spans="1:4" x14ac:dyDescent="0.2">
      <c r="A127" s="94" t="s">
        <v>367</v>
      </c>
      <c r="B127" s="95" t="s">
        <v>112</v>
      </c>
      <c r="C127" s="95" t="s">
        <v>368</v>
      </c>
      <c r="D127" s="101" t="s">
        <v>368</v>
      </c>
    </row>
    <row r="128" spans="1:4" x14ac:dyDescent="0.2">
      <c r="A128" s="94" t="s">
        <v>923</v>
      </c>
      <c r="B128" s="95" t="s">
        <v>112</v>
      </c>
      <c r="C128" s="95" t="s">
        <v>368</v>
      </c>
      <c r="D128" s="101" t="s">
        <v>924</v>
      </c>
    </row>
    <row r="129" spans="1:4" x14ac:dyDescent="0.2">
      <c r="A129" s="94" t="s">
        <v>369</v>
      </c>
      <c r="B129" s="95" t="s">
        <v>112</v>
      </c>
      <c r="C129" s="95" t="s">
        <v>925</v>
      </c>
      <c r="D129" s="101" t="s">
        <v>925</v>
      </c>
    </row>
    <row r="130" spans="1:4" x14ac:dyDescent="0.2">
      <c r="A130" s="94" t="s">
        <v>113</v>
      </c>
      <c r="B130" s="95" t="s">
        <v>112</v>
      </c>
      <c r="C130" s="95" t="s">
        <v>370</v>
      </c>
      <c r="D130" s="101" t="s">
        <v>370</v>
      </c>
    </row>
    <row r="131" spans="1:4" x14ac:dyDescent="0.2">
      <c r="A131" s="94" t="s">
        <v>114</v>
      </c>
      <c r="B131" s="95" t="s">
        <v>112</v>
      </c>
      <c r="C131" s="95" t="s">
        <v>371</v>
      </c>
      <c r="D131" s="101" t="s">
        <v>371</v>
      </c>
    </row>
    <row r="132" spans="1:4" x14ac:dyDescent="0.2">
      <c r="A132" s="94" t="s">
        <v>115</v>
      </c>
      <c r="B132" s="95" t="s">
        <v>112</v>
      </c>
      <c r="C132" s="95" t="s">
        <v>372</v>
      </c>
      <c r="D132" s="101" t="s">
        <v>372</v>
      </c>
    </row>
    <row r="133" spans="1:4" x14ac:dyDescent="0.2">
      <c r="A133" s="94" t="s">
        <v>116</v>
      </c>
      <c r="B133" s="95" t="s">
        <v>112</v>
      </c>
      <c r="C133" s="95" t="s">
        <v>373</v>
      </c>
      <c r="D133" s="101" t="s">
        <v>373</v>
      </c>
    </row>
    <row r="134" spans="1:4" x14ac:dyDescent="0.2">
      <c r="A134" s="94" t="s">
        <v>117</v>
      </c>
      <c r="B134" s="95" t="s">
        <v>112</v>
      </c>
      <c r="C134" s="95" t="s">
        <v>926</v>
      </c>
      <c r="D134" s="101" t="s">
        <v>926</v>
      </c>
    </row>
    <row r="135" spans="1:4" x14ac:dyDescent="0.2">
      <c r="A135" s="94" t="s">
        <v>118</v>
      </c>
      <c r="B135" s="95" t="s">
        <v>112</v>
      </c>
      <c r="C135" s="95" t="s">
        <v>374</v>
      </c>
      <c r="D135" s="101" t="s">
        <v>374</v>
      </c>
    </row>
    <row r="136" spans="1:4" x14ac:dyDescent="0.2">
      <c r="A136" s="94" t="s">
        <v>119</v>
      </c>
      <c r="B136" s="95" t="s">
        <v>112</v>
      </c>
      <c r="C136" s="95" t="s">
        <v>375</v>
      </c>
      <c r="D136" s="101" t="s">
        <v>375</v>
      </c>
    </row>
    <row r="137" spans="1:4" x14ac:dyDescent="0.2">
      <c r="A137" s="94" t="s">
        <v>840</v>
      </c>
      <c r="B137" s="95" t="s">
        <v>112</v>
      </c>
      <c r="C137" s="95" t="s">
        <v>375</v>
      </c>
      <c r="D137" s="101" t="s">
        <v>927</v>
      </c>
    </row>
    <row r="138" spans="1:4" x14ac:dyDescent="0.2">
      <c r="A138" s="94" t="s">
        <v>120</v>
      </c>
      <c r="B138" s="95" t="s">
        <v>112</v>
      </c>
      <c r="C138" s="95" t="s">
        <v>376</v>
      </c>
      <c r="D138" s="101" t="s">
        <v>376</v>
      </c>
    </row>
    <row r="139" spans="1:4" x14ac:dyDescent="0.2">
      <c r="A139" s="94" t="s">
        <v>42</v>
      </c>
      <c r="B139" s="95" t="s">
        <v>377</v>
      </c>
      <c r="C139" s="95" t="s">
        <v>914</v>
      </c>
      <c r="D139" s="101" t="s">
        <v>914</v>
      </c>
    </row>
    <row r="140" spans="1:4" x14ac:dyDescent="0.2">
      <c r="A140" s="94" t="s">
        <v>121</v>
      </c>
      <c r="B140" s="95" t="s">
        <v>377</v>
      </c>
      <c r="C140" s="95" t="s">
        <v>378</v>
      </c>
      <c r="D140" s="101" t="s">
        <v>380</v>
      </c>
    </row>
    <row r="141" spans="1:4" x14ac:dyDescent="0.2">
      <c r="A141" s="94" t="s">
        <v>122</v>
      </c>
      <c r="B141" s="95" t="s">
        <v>377</v>
      </c>
      <c r="C141" s="95" t="s">
        <v>378</v>
      </c>
      <c r="D141" s="101" t="s">
        <v>381</v>
      </c>
    </row>
    <row r="142" spans="1:4" x14ac:dyDescent="0.2">
      <c r="A142" s="94" t="s">
        <v>123</v>
      </c>
      <c r="B142" s="95" t="s">
        <v>377</v>
      </c>
      <c r="C142" s="95" t="s">
        <v>378</v>
      </c>
      <c r="D142" s="101" t="s">
        <v>382</v>
      </c>
    </row>
    <row r="143" spans="1:4" x14ac:dyDescent="0.2">
      <c r="A143" s="94" t="s">
        <v>124</v>
      </c>
      <c r="B143" s="95" t="s">
        <v>377</v>
      </c>
      <c r="C143" s="95" t="s">
        <v>378</v>
      </c>
      <c r="D143" s="101" t="s">
        <v>383</v>
      </c>
    </row>
    <row r="144" spans="1:4" x14ac:dyDescent="0.2">
      <c r="A144" s="94" t="s">
        <v>125</v>
      </c>
      <c r="B144" s="95" t="s">
        <v>377</v>
      </c>
      <c r="C144" s="95" t="s">
        <v>378</v>
      </c>
      <c r="D144" s="101" t="s">
        <v>384</v>
      </c>
    </row>
    <row r="145" spans="1:4" x14ac:dyDescent="0.2">
      <c r="A145" s="94" t="s">
        <v>928</v>
      </c>
      <c r="B145" s="95" t="s">
        <v>377</v>
      </c>
      <c r="C145" s="95" t="s">
        <v>378</v>
      </c>
      <c r="D145" s="101" t="s">
        <v>378</v>
      </c>
    </row>
    <row r="146" spans="1:4" x14ac:dyDescent="0.2">
      <c r="A146" s="94" t="s">
        <v>929</v>
      </c>
      <c r="B146" s="95" t="s">
        <v>377</v>
      </c>
      <c r="C146" s="95" t="s">
        <v>378</v>
      </c>
      <c r="D146" s="101" t="s">
        <v>930</v>
      </c>
    </row>
    <row r="147" spans="1:4" x14ac:dyDescent="0.2">
      <c r="A147" s="94" t="s">
        <v>126</v>
      </c>
      <c r="B147" s="95" t="s">
        <v>377</v>
      </c>
      <c r="C147" s="95" t="s">
        <v>378</v>
      </c>
      <c r="D147" s="101" t="s">
        <v>385</v>
      </c>
    </row>
    <row r="148" spans="1:4" x14ac:dyDescent="0.2">
      <c r="A148" s="94" t="s">
        <v>127</v>
      </c>
      <c r="B148" s="95" t="s">
        <v>377</v>
      </c>
      <c r="C148" s="95" t="s">
        <v>378</v>
      </c>
      <c r="D148" s="101" t="s">
        <v>931</v>
      </c>
    </row>
    <row r="149" spans="1:4" x14ac:dyDescent="0.2">
      <c r="A149" s="94" t="s">
        <v>932</v>
      </c>
      <c r="B149" s="95" t="s">
        <v>377</v>
      </c>
      <c r="C149" s="95" t="s">
        <v>378</v>
      </c>
      <c r="D149" s="101" t="s">
        <v>379</v>
      </c>
    </row>
    <row r="150" spans="1:4" x14ac:dyDescent="0.2">
      <c r="A150" s="94" t="s">
        <v>933</v>
      </c>
      <c r="B150" s="95" t="s">
        <v>377</v>
      </c>
      <c r="C150" s="95" t="s">
        <v>378</v>
      </c>
      <c r="D150" s="101" t="s">
        <v>934</v>
      </c>
    </row>
    <row r="151" spans="1:4" x14ac:dyDescent="0.2">
      <c r="A151" s="94" t="s">
        <v>935</v>
      </c>
      <c r="B151" s="95" t="s">
        <v>377</v>
      </c>
      <c r="C151" s="95" t="s">
        <v>378</v>
      </c>
      <c r="D151" s="101" t="s">
        <v>936</v>
      </c>
    </row>
    <row r="152" spans="1:4" x14ac:dyDescent="0.2">
      <c r="A152" s="94" t="s">
        <v>937</v>
      </c>
      <c r="B152" s="95" t="s">
        <v>377</v>
      </c>
      <c r="C152" s="95" t="s">
        <v>378</v>
      </c>
      <c r="D152" s="101" t="s">
        <v>938</v>
      </c>
    </row>
    <row r="153" spans="1:4" x14ac:dyDescent="0.2">
      <c r="A153" s="94" t="s">
        <v>939</v>
      </c>
      <c r="B153" s="95" t="s">
        <v>377</v>
      </c>
      <c r="C153" s="95" t="s">
        <v>378</v>
      </c>
      <c r="D153" s="101" t="s">
        <v>940</v>
      </c>
    </row>
    <row r="154" spans="1:4" x14ac:dyDescent="0.2">
      <c r="A154" s="94" t="s">
        <v>941</v>
      </c>
      <c r="B154" s="95" t="s">
        <v>377</v>
      </c>
      <c r="C154" s="95" t="s">
        <v>378</v>
      </c>
      <c r="D154" s="101" t="s">
        <v>942</v>
      </c>
    </row>
    <row r="155" spans="1:4" x14ac:dyDescent="0.2">
      <c r="A155" s="94" t="s">
        <v>794</v>
      </c>
      <c r="B155" s="95" t="s">
        <v>377</v>
      </c>
      <c r="C155" s="95" t="s">
        <v>795</v>
      </c>
      <c r="D155" s="101" t="s">
        <v>795</v>
      </c>
    </row>
    <row r="156" spans="1:4" x14ac:dyDescent="0.2">
      <c r="A156" s="94" t="s">
        <v>128</v>
      </c>
      <c r="B156" s="95" t="s">
        <v>377</v>
      </c>
      <c r="C156" s="95" t="s">
        <v>386</v>
      </c>
      <c r="D156" s="101" t="s">
        <v>386</v>
      </c>
    </row>
    <row r="157" spans="1:4" x14ac:dyDescent="0.2">
      <c r="A157" s="94" t="s">
        <v>943</v>
      </c>
      <c r="B157" s="95" t="s">
        <v>377</v>
      </c>
      <c r="C157" s="95" t="s">
        <v>386</v>
      </c>
      <c r="D157" s="101" t="s">
        <v>944</v>
      </c>
    </row>
    <row r="158" spans="1:4" x14ac:dyDescent="0.2">
      <c r="A158" s="94" t="s">
        <v>41</v>
      </c>
      <c r="B158" s="95" t="s">
        <v>377</v>
      </c>
      <c r="C158" s="95" t="s">
        <v>387</v>
      </c>
      <c r="D158" s="101" t="s">
        <v>387</v>
      </c>
    </row>
    <row r="159" spans="1:4" x14ac:dyDescent="0.2">
      <c r="A159" s="94" t="s">
        <v>129</v>
      </c>
      <c r="B159" s="95" t="s">
        <v>377</v>
      </c>
      <c r="C159" s="95" t="s">
        <v>388</v>
      </c>
      <c r="D159" s="101" t="s">
        <v>388</v>
      </c>
    </row>
    <row r="160" spans="1:4" x14ac:dyDescent="0.2">
      <c r="A160" s="94" t="s">
        <v>39</v>
      </c>
      <c r="B160" s="95" t="s">
        <v>130</v>
      </c>
      <c r="C160" s="95" t="s">
        <v>389</v>
      </c>
      <c r="D160" s="101" t="s">
        <v>389</v>
      </c>
    </row>
    <row r="161" spans="1:4" x14ac:dyDescent="0.2">
      <c r="A161" s="94" t="s">
        <v>131</v>
      </c>
      <c r="B161" s="95" t="s">
        <v>130</v>
      </c>
      <c r="C161" s="95" t="s">
        <v>389</v>
      </c>
      <c r="D161" s="101" t="s">
        <v>390</v>
      </c>
    </row>
    <row r="162" spans="1:4" x14ac:dyDescent="0.2">
      <c r="A162" s="94" t="s">
        <v>44</v>
      </c>
      <c r="B162" s="95" t="s">
        <v>130</v>
      </c>
      <c r="C162" s="95" t="s">
        <v>391</v>
      </c>
      <c r="D162" s="101" t="s">
        <v>391</v>
      </c>
    </row>
    <row r="163" spans="1:4" x14ac:dyDescent="0.2">
      <c r="A163" s="94" t="s">
        <v>132</v>
      </c>
      <c r="B163" s="95" t="s">
        <v>130</v>
      </c>
      <c r="C163" s="95" t="s">
        <v>491</v>
      </c>
      <c r="D163" s="101" t="s">
        <v>491</v>
      </c>
    </row>
    <row r="164" spans="1:4" x14ac:dyDescent="0.2">
      <c r="A164" s="94" t="s">
        <v>133</v>
      </c>
      <c r="B164" s="95" t="s">
        <v>130</v>
      </c>
      <c r="C164" s="95" t="s">
        <v>392</v>
      </c>
      <c r="D164" s="101" t="s">
        <v>392</v>
      </c>
    </row>
    <row r="165" spans="1:4" x14ac:dyDescent="0.2">
      <c r="A165" s="94" t="s">
        <v>134</v>
      </c>
      <c r="B165" s="95" t="s">
        <v>130</v>
      </c>
      <c r="C165" s="95" t="s">
        <v>392</v>
      </c>
      <c r="D165" s="101" t="s">
        <v>393</v>
      </c>
    </row>
    <row r="166" spans="1:4" x14ac:dyDescent="0.2">
      <c r="A166" s="94" t="s">
        <v>135</v>
      </c>
      <c r="B166" s="95" t="s">
        <v>130</v>
      </c>
      <c r="C166" s="95" t="s">
        <v>392</v>
      </c>
      <c r="D166" s="101" t="s">
        <v>394</v>
      </c>
    </row>
    <row r="167" spans="1:4" x14ac:dyDescent="0.2">
      <c r="A167" s="94" t="s">
        <v>136</v>
      </c>
      <c r="B167" s="95" t="s">
        <v>130</v>
      </c>
      <c r="C167" s="95" t="s">
        <v>392</v>
      </c>
      <c r="D167" s="101" t="s">
        <v>395</v>
      </c>
    </row>
    <row r="168" spans="1:4" x14ac:dyDescent="0.2">
      <c r="A168" s="94" t="s">
        <v>137</v>
      </c>
      <c r="B168" s="95" t="s">
        <v>130</v>
      </c>
      <c r="C168" s="95" t="s">
        <v>392</v>
      </c>
      <c r="D168" s="101" t="s">
        <v>396</v>
      </c>
    </row>
    <row r="169" spans="1:4" x14ac:dyDescent="0.2">
      <c r="A169" s="94" t="s">
        <v>397</v>
      </c>
      <c r="B169" s="95" t="s">
        <v>130</v>
      </c>
      <c r="C169" s="95" t="s">
        <v>392</v>
      </c>
      <c r="D169" s="101" t="s">
        <v>398</v>
      </c>
    </row>
    <row r="170" spans="1:4" x14ac:dyDescent="0.2">
      <c r="A170" s="94" t="s">
        <v>604</v>
      </c>
      <c r="B170" s="95" t="s">
        <v>130</v>
      </c>
      <c r="C170" s="95" t="s">
        <v>392</v>
      </c>
      <c r="D170" s="101" t="s">
        <v>605</v>
      </c>
    </row>
    <row r="171" spans="1:4" x14ac:dyDescent="0.2">
      <c r="A171" s="94" t="s">
        <v>138</v>
      </c>
      <c r="B171" s="95" t="s">
        <v>130</v>
      </c>
      <c r="C171" s="95" t="s">
        <v>399</v>
      </c>
      <c r="D171" s="101" t="s">
        <v>399</v>
      </c>
    </row>
    <row r="172" spans="1:4" x14ac:dyDescent="0.2">
      <c r="A172" s="94" t="s">
        <v>139</v>
      </c>
      <c r="B172" s="95" t="s">
        <v>130</v>
      </c>
      <c r="C172" s="95" t="s">
        <v>399</v>
      </c>
      <c r="D172" s="101" t="s">
        <v>400</v>
      </c>
    </row>
    <row r="173" spans="1:4" x14ac:dyDescent="0.2">
      <c r="A173" s="94" t="s">
        <v>140</v>
      </c>
      <c r="B173" s="95" t="s">
        <v>130</v>
      </c>
      <c r="C173" s="95" t="s">
        <v>399</v>
      </c>
      <c r="D173" s="101" t="s">
        <v>401</v>
      </c>
    </row>
    <row r="174" spans="1:4" x14ac:dyDescent="0.2">
      <c r="A174" s="94" t="s">
        <v>141</v>
      </c>
      <c r="B174" s="95" t="s">
        <v>130</v>
      </c>
      <c r="C174" s="95" t="s">
        <v>399</v>
      </c>
      <c r="D174" s="101" t="s">
        <v>402</v>
      </c>
    </row>
    <row r="175" spans="1:4" x14ac:dyDescent="0.2">
      <c r="A175" s="94" t="s">
        <v>403</v>
      </c>
      <c r="B175" s="95" t="s">
        <v>130</v>
      </c>
      <c r="C175" s="95" t="s">
        <v>399</v>
      </c>
      <c r="D175" s="101" t="s">
        <v>404</v>
      </c>
    </row>
    <row r="176" spans="1:4" x14ac:dyDescent="0.2">
      <c r="A176" s="94" t="s">
        <v>22</v>
      </c>
      <c r="B176" s="95" t="s">
        <v>130</v>
      </c>
      <c r="C176" s="95" t="s">
        <v>405</v>
      </c>
      <c r="D176" s="101" t="s">
        <v>405</v>
      </c>
    </row>
    <row r="177" spans="1:4" x14ac:dyDescent="0.2">
      <c r="A177" s="94" t="s">
        <v>142</v>
      </c>
      <c r="B177" s="95" t="s">
        <v>143</v>
      </c>
      <c r="C177" s="95" t="s">
        <v>406</v>
      </c>
      <c r="D177" s="101" t="s">
        <v>406</v>
      </c>
    </row>
    <row r="178" spans="1:4" x14ac:dyDescent="0.2">
      <c r="A178" s="94" t="s">
        <v>640</v>
      </c>
      <c r="B178" s="95" t="s">
        <v>143</v>
      </c>
      <c r="C178" s="95" t="s">
        <v>406</v>
      </c>
      <c r="D178" s="101" t="s">
        <v>641</v>
      </c>
    </row>
    <row r="179" spans="1:4" x14ac:dyDescent="0.2">
      <c r="A179" s="94" t="s">
        <v>642</v>
      </c>
      <c r="B179" s="95" t="s">
        <v>143</v>
      </c>
      <c r="C179" s="95" t="s">
        <v>406</v>
      </c>
      <c r="D179" s="101" t="s">
        <v>643</v>
      </c>
    </row>
    <row r="180" spans="1:4" x14ac:dyDescent="0.2">
      <c r="A180" s="94" t="s">
        <v>644</v>
      </c>
      <c r="B180" s="95" t="s">
        <v>143</v>
      </c>
      <c r="C180" s="95" t="s">
        <v>406</v>
      </c>
      <c r="D180" s="101" t="s">
        <v>645</v>
      </c>
    </row>
    <row r="181" spans="1:4" x14ac:dyDescent="0.2">
      <c r="A181" s="94" t="s">
        <v>144</v>
      </c>
      <c r="B181" s="95" t="s">
        <v>945</v>
      </c>
      <c r="C181" s="95" t="s">
        <v>407</v>
      </c>
      <c r="D181" s="101" t="s">
        <v>407</v>
      </c>
    </row>
    <row r="182" spans="1:4" x14ac:dyDescent="0.2">
      <c r="A182" s="94" t="s">
        <v>145</v>
      </c>
      <c r="B182" s="95" t="s">
        <v>945</v>
      </c>
      <c r="C182" s="95" t="s">
        <v>407</v>
      </c>
      <c r="D182" s="101" t="s">
        <v>408</v>
      </c>
    </row>
    <row r="183" spans="1:4" x14ac:dyDescent="0.2">
      <c r="A183" s="94" t="s">
        <v>146</v>
      </c>
      <c r="B183" s="95" t="s">
        <v>945</v>
      </c>
      <c r="C183" s="95" t="s">
        <v>409</v>
      </c>
      <c r="D183" s="101" t="s">
        <v>409</v>
      </c>
    </row>
    <row r="184" spans="1:4" x14ac:dyDescent="0.2">
      <c r="A184" s="94" t="s">
        <v>147</v>
      </c>
      <c r="B184" s="95" t="s">
        <v>945</v>
      </c>
      <c r="C184" s="95" t="s">
        <v>646</v>
      </c>
      <c r="D184" s="101" t="s">
        <v>646</v>
      </c>
    </row>
    <row r="185" spans="1:4" x14ac:dyDescent="0.2">
      <c r="A185" s="94" t="s">
        <v>148</v>
      </c>
      <c r="B185" s="95" t="s">
        <v>945</v>
      </c>
      <c r="C185" s="95" t="s">
        <v>410</v>
      </c>
      <c r="D185" s="101" t="s">
        <v>410</v>
      </c>
    </row>
    <row r="186" spans="1:4" x14ac:dyDescent="0.2">
      <c r="A186" s="94" t="s">
        <v>149</v>
      </c>
      <c r="B186" s="95" t="s">
        <v>945</v>
      </c>
      <c r="C186" s="95" t="s">
        <v>411</v>
      </c>
      <c r="D186" s="101" t="s">
        <v>411</v>
      </c>
    </row>
    <row r="187" spans="1:4" x14ac:dyDescent="0.2">
      <c r="A187" s="94" t="s">
        <v>946</v>
      </c>
      <c r="B187" s="95" t="s">
        <v>945</v>
      </c>
      <c r="C187" s="95" t="s">
        <v>411</v>
      </c>
      <c r="D187" s="95" t="s">
        <v>947</v>
      </c>
    </row>
    <row r="188" spans="1:4" x14ac:dyDescent="0.2">
      <c r="A188" s="94" t="s">
        <v>150</v>
      </c>
      <c r="B188" s="95" t="s">
        <v>945</v>
      </c>
      <c r="C188" s="95" t="s">
        <v>412</v>
      </c>
      <c r="D188" s="95" t="s">
        <v>412</v>
      </c>
    </row>
    <row r="189" spans="1:4" x14ac:dyDescent="0.2">
      <c r="A189" s="94" t="s">
        <v>151</v>
      </c>
      <c r="B189" s="95" t="s">
        <v>945</v>
      </c>
      <c r="C189" s="95" t="s">
        <v>413</v>
      </c>
      <c r="D189" s="101" t="s">
        <v>413</v>
      </c>
    </row>
    <row r="190" spans="1:4" x14ac:dyDescent="0.2">
      <c r="A190" s="94" t="s">
        <v>152</v>
      </c>
      <c r="B190" s="95" t="s">
        <v>945</v>
      </c>
      <c r="C190" s="95" t="s">
        <v>647</v>
      </c>
      <c r="D190" s="101" t="s">
        <v>647</v>
      </c>
    </row>
    <row r="191" spans="1:4" x14ac:dyDescent="0.2">
      <c r="A191" s="94" t="s">
        <v>153</v>
      </c>
      <c r="B191" s="95" t="s">
        <v>945</v>
      </c>
      <c r="C191" s="95" t="s">
        <v>414</v>
      </c>
      <c r="D191" s="101" t="s">
        <v>414</v>
      </c>
    </row>
    <row r="192" spans="1:4" x14ac:dyDescent="0.2">
      <c r="A192" s="94" t="s">
        <v>1025</v>
      </c>
      <c r="B192" s="95" t="s">
        <v>945</v>
      </c>
      <c r="C192" s="95" t="s">
        <v>1026</v>
      </c>
      <c r="D192" s="101" t="s">
        <v>1026</v>
      </c>
    </row>
    <row r="193" spans="1:4" x14ac:dyDescent="0.2">
      <c r="A193" s="94" t="s">
        <v>154</v>
      </c>
      <c r="B193" s="95" t="s">
        <v>945</v>
      </c>
      <c r="C193" s="95" t="s">
        <v>648</v>
      </c>
      <c r="D193" s="101" t="s">
        <v>648</v>
      </c>
    </row>
    <row r="194" spans="1:4" x14ac:dyDescent="0.2">
      <c r="A194" s="94" t="s">
        <v>155</v>
      </c>
      <c r="B194" s="95" t="s">
        <v>945</v>
      </c>
      <c r="C194" s="95" t="s">
        <v>648</v>
      </c>
      <c r="D194" s="101" t="s">
        <v>415</v>
      </c>
    </row>
    <row r="195" spans="1:4" x14ac:dyDescent="0.2">
      <c r="A195" s="94" t="s">
        <v>156</v>
      </c>
      <c r="B195" s="95" t="s">
        <v>945</v>
      </c>
      <c r="C195" s="95" t="s">
        <v>416</v>
      </c>
      <c r="D195" s="101" t="s">
        <v>416</v>
      </c>
    </row>
    <row r="196" spans="1:4" x14ac:dyDescent="0.2">
      <c r="A196" s="94" t="s">
        <v>157</v>
      </c>
      <c r="B196" s="95" t="s">
        <v>158</v>
      </c>
      <c r="C196" s="95" t="s">
        <v>417</v>
      </c>
      <c r="D196" s="95" t="s">
        <v>417</v>
      </c>
    </row>
    <row r="197" spans="1:4" x14ac:dyDescent="0.2">
      <c r="A197" s="94" t="s">
        <v>159</v>
      </c>
      <c r="B197" s="95" t="s">
        <v>158</v>
      </c>
      <c r="C197" s="95" t="s">
        <v>417</v>
      </c>
      <c r="D197" s="101" t="s">
        <v>418</v>
      </c>
    </row>
    <row r="198" spans="1:4" x14ac:dyDescent="0.2">
      <c r="A198" s="94" t="s">
        <v>160</v>
      </c>
      <c r="B198" s="95" t="s">
        <v>158</v>
      </c>
      <c r="C198" s="95" t="s">
        <v>417</v>
      </c>
      <c r="D198" s="101" t="s">
        <v>419</v>
      </c>
    </row>
    <row r="199" spans="1:4" x14ac:dyDescent="0.2">
      <c r="A199" s="94" t="s">
        <v>841</v>
      </c>
      <c r="B199" s="95" t="s">
        <v>158</v>
      </c>
      <c r="C199" s="95" t="s">
        <v>417</v>
      </c>
      <c r="D199" s="101" t="s">
        <v>948</v>
      </c>
    </row>
    <row r="200" spans="1:4" x14ac:dyDescent="0.2">
      <c r="A200" s="94" t="s">
        <v>161</v>
      </c>
      <c r="B200" s="95" t="s">
        <v>158</v>
      </c>
      <c r="C200" s="95" t="s">
        <v>420</v>
      </c>
      <c r="D200" s="101" t="s">
        <v>420</v>
      </c>
    </row>
    <row r="201" spans="1:4" x14ac:dyDescent="0.2">
      <c r="A201" s="94" t="s">
        <v>162</v>
      </c>
      <c r="B201" s="95" t="s">
        <v>158</v>
      </c>
      <c r="C201" s="95" t="s">
        <v>949</v>
      </c>
      <c r="D201" s="101" t="s">
        <v>949</v>
      </c>
    </row>
    <row r="202" spans="1:4" x14ac:dyDescent="0.2">
      <c r="A202" s="94" t="s">
        <v>163</v>
      </c>
      <c r="B202" s="95" t="s">
        <v>158</v>
      </c>
      <c r="C202" s="95" t="s">
        <v>421</v>
      </c>
      <c r="D202" s="101" t="s">
        <v>421</v>
      </c>
    </row>
    <row r="203" spans="1:4" x14ac:dyDescent="0.2">
      <c r="A203" s="94" t="s">
        <v>164</v>
      </c>
      <c r="B203" s="95" t="s">
        <v>158</v>
      </c>
      <c r="C203" s="95" t="s">
        <v>422</v>
      </c>
      <c r="D203" s="101" t="s">
        <v>422</v>
      </c>
    </row>
    <row r="204" spans="1:4" x14ac:dyDescent="0.2">
      <c r="A204" s="94" t="s">
        <v>165</v>
      </c>
      <c r="B204" s="95" t="s">
        <v>158</v>
      </c>
      <c r="C204" s="95" t="s">
        <v>422</v>
      </c>
      <c r="D204" s="101" t="s">
        <v>423</v>
      </c>
    </row>
    <row r="205" spans="1:4" x14ac:dyDescent="0.2">
      <c r="A205" s="94" t="s">
        <v>166</v>
      </c>
      <c r="B205" s="95" t="s">
        <v>158</v>
      </c>
      <c r="C205" s="95" t="s">
        <v>424</v>
      </c>
      <c r="D205" s="95" t="s">
        <v>424</v>
      </c>
    </row>
    <row r="206" spans="1:4" x14ac:dyDescent="0.2">
      <c r="A206" s="94" t="s">
        <v>167</v>
      </c>
      <c r="B206" s="95" t="s">
        <v>158</v>
      </c>
      <c r="C206" s="95" t="s">
        <v>865</v>
      </c>
      <c r="D206" s="101" t="s">
        <v>865</v>
      </c>
    </row>
    <row r="207" spans="1:4" x14ac:dyDescent="0.2">
      <c r="A207" s="94" t="s">
        <v>168</v>
      </c>
      <c r="B207" s="95" t="s">
        <v>158</v>
      </c>
      <c r="C207" s="95" t="s">
        <v>866</v>
      </c>
      <c r="D207" s="101" t="s">
        <v>866</v>
      </c>
    </row>
    <row r="208" spans="1:4" x14ac:dyDescent="0.2">
      <c r="A208" s="94" t="s">
        <v>169</v>
      </c>
      <c r="B208" s="95" t="s">
        <v>158</v>
      </c>
      <c r="C208" s="95" t="s">
        <v>425</v>
      </c>
      <c r="D208" s="95" t="s">
        <v>425</v>
      </c>
    </row>
    <row r="209" spans="1:4" x14ac:dyDescent="0.2">
      <c r="A209" s="94" t="s">
        <v>170</v>
      </c>
      <c r="B209" s="95" t="s">
        <v>158</v>
      </c>
      <c r="C209" s="95" t="s">
        <v>426</v>
      </c>
      <c r="D209" s="101" t="s">
        <v>426</v>
      </c>
    </row>
    <row r="210" spans="1:4" x14ac:dyDescent="0.2">
      <c r="A210" s="94" t="s">
        <v>171</v>
      </c>
      <c r="B210" s="95" t="s">
        <v>158</v>
      </c>
      <c r="C210" s="95" t="s">
        <v>427</v>
      </c>
      <c r="D210" s="101" t="s">
        <v>427</v>
      </c>
    </row>
    <row r="211" spans="1:4" x14ac:dyDescent="0.2">
      <c r="A211" s="94" t="s">
        <v>172</v>
      </c>
      <c r="B211" s="95" t="s">
        <v>158</v>
      </c>
      <c r="C211" s="95" t="s">
        <v>649</v>
      </c>
      <c r="D211" s="101" t="s">
        <v>649</v>
      </c>
    </row>
    <row r="212" spans="1:4" x14ac:dyDescent="0.2">
      <c r="A212" s="94" t="s">
        <v>173</v>
      </c>
      <c r="B212" s="95" t="s">
        <v>158</v>
      </c>
      <c r="C212" s="95" t="s">
        <v>428</v>
      </c>
      <c r="D212" s="101" t="s">
        <v>428</v>
      </c>
    </row>
    <row r="213" spans="1:4" x14ac:dyDescent="0.2">
      <c r="A213" s="94" t="s">
        <v>174</v>
      </c>
      <c r="B213" s="95" t="s">
        <v>158</v>
      </c>
      <c r="C213" s="95" t="s">
        <v>429</v>
      </c>
      <c r="D213" s="101" t="s">
        <v>429</v>
      </c>
    </row>
    <row r="214" spans="1:4" x14ac:dyDescent="0.2">
      <c r="A214" s="94" t="s">
        <v>175</v>
      </c>
      <c r="B214" s="95" t="s">
        <v>158</v>
      </c>
      <c r="C214" s="95" t="s">
        <v>950</v>
      </c>
      <c r="D214" s="101" t="s">
        <v>950</v>
      </c>
    </row>
    <row r="215" spans="1:4" x14ac:dyDescent="0.2">
      <c r="A215" s="94" t="s">
        <v>176</v>
      </c>
      <c r="B215" s="95" t="s">
        <v>158</v>
      </c>
      <c r="C215" s="95" t="s">
        <v>430</v>
      </c>
      <c r="D215" s="101" t="s">
        <v>430</v>
      </c>
    </row>
    <row r="216" spans="1:4" x14ac:dyDescent="0.2">
      <c r="A216" s="94" t="s">
        <v>177</v>
      </c>
      <c r="B216" s="95" t="s">
        <v>158</v>
      </c>
      <c r="C216" s="95" t="s">
        <v>431</v>
      </c>
      <c r="D216" s="101" t="s">
        <v>431</v>
      </c>
    </row>
    <row r="217" spans="1:4" x14ac:dyDescent="0.2">
      <c r="A217" s="94" t="s">
        <v>178</v>
      </c>
      <c r="B217" s="95" t="s">
        <v>158</v>
      </c>
      <c r="C217" s="95" t="s">
        <v>432</v>
      </c>
      <c r="D217" s="101" t="s">
        <v>432</v>
      </c>
    </row>
    <row r="218" spans="1:4" x14ac:dyDescent="0.2">
      <c r="A218" s="94" t="s">
        <v>179</v>
      </c>
      <c r="B218" s="95" t="s">
        <v>158</v>
      </c>
      <c r="C218" s="95" t="s">
        <v>433</v>
      </c>
      <c r="D218" s="101" t="s">
        <v>433</v>
      </c>
    </row>
    <row r="219" spans="1:4" x14ac:dyDescent="0.2">
      <c r="A219" s="94" t="s">
        <v>180</v>
      </c>
      <c r="B219" s="95" t="s">
        <v>158</v>
      </c>
      <c r="C219" s="95" t="s">
        <v>951</v>
      </c>
      <c r="D219" s="101" t="s">
        <v>951</v>
      </c>
    </row>
    <row r="220" spans="1:4" x14ac:dyDescent="0.2">
      <c r="A220" s="94" t="s">
        <v>181</v>
      </c>
      <c r="B220" s="95" t="s">
        <v>158</v>
      </c>
      <c r="C220" s="95" t="s">
        <v>434</v>
      </c>
      <c r="D220" s="101" t="s">
        <v>434</v>
      </c>
    </row>
    <row r="221" spans="1:4" x14ac:dyDescent="0.2">
      <c r="A221" s="94" t="s">
        <v>182</v>
      </c>
      <c r="B221" s="95" t="s">
        <v>158</v>
      </c>
      <c r="C221" s="95" t="s">
        <v>435</v>
      </c>
      <c r="D221" s="101" t="s">
        <v>435</v>
      </c>
    </row>
    <row r="222" spans="1:4" x14ac:dyDescent="0.2">
      <c r="A222" s="94" t="s">
        <v>183</v>
      </c>
      <c r="B222" s="95" t="s">
        <v>158</v>
      </c>
      <c r="C222" s="95" t="s">
        <v>436</v>
      </c>
      <c r="D222" s="101" t="s">
        <v>436</v>
      </c>
    </row>
    <row r="223" spans="1:4" x14ac:dyDescent="0.2">
      <c r="A223" s="94" t="s">
        <v>184</v>
      </c>
      <c r="B223" s="95" t="s">
        <v>158</v>
      </c>
      <c r="C223" s="95" t="s">
        <v>952</v>
      </c>
      <c r="D223" s="101" t="s">
        <v>952</v>
      </c>
    </row>
    <row r="224" spans="1:4" x14ac:dyDescent="0.2">
      <c r="A224" s="94" t="s">
        <v>185</v>
      </c>
      <c r="B224" s="95" t="s">
        <v>158</v>
      </c>
      <c r="C224" s="95" t="s">
        <v>437</v>
      </c>
      <c r="D224" s="101" t="s">
        <v>437</v>
      </c>
    </row>
    <row r="225" spans="1:4" x14ac:dyDescent="0.2">
      <c r="A225" s="94" t="s">
        <v>186</v>
      </c>
      <c r="B225" s="95" t="s">
        <v>158</v>
      </c>
      <c r="C225" s="95" t="s">
        <v>438</v>
      </c>
      <c r="D225" s="101" t="s">
        <v>438</v>
      </c>
    </row>
    <row r="226" spans="1:4" x14ac:dyDescent="0.2">
      <c r="A226" s="94" t="s">
        <v>187</v>
      </c>
      <c r="B226" s="95" t="s">
        <v>158</v>
      </c>
      <c r="C226" s="95" t="s">
        <v>867</v>
      </c>
      <c r="D226" s="101" t="s">
        <v>867</v>
      </c>
    </row>
    <row r="227" spans="1:4" x14ac:dyDescent="0.2">
      <c r="A227" s="94" t="s">
        <v>188</v>
      </c>
      <c r="B227" s="95" t="s">
        <v>158</v>
      </c>
      <c r="C227" s="95" t="s">
        <v>439</v>
      </c>
      <c r="D227" s="101" t="s">
        <v>439</v>
      </c>
    </row>
    <row r="228" spans="1:4" x14ac:dyDescent="0.2">
      <c r="A228" s="94" t="s">
        <v>189</v>
      </c>
      <c r="B228" s="95" t="s">
        <v>158</v>
      </c>
      <c r="C228" s="95" t="s">
        <v>440</v>
      </c>
      <c r="D228" s="101" t="s">
        <v>440</v>
      </c>
    </row>
    <row r="229" spans="1:4" x14ac:dyDescent="0.2">
      <c r="A229" s="94" t="s">
        <v>190</v>
      </c>
      <c r="B229" s="95" t="s">
        <v>158</v>
      </c>
      <c r="C229" s="95" t="s">
        <v>441</v>
      </c>
      <c r="D229" s="101" t="s">
        <v>441</v>
      </c>
    </row>
    <row r="230" spans="1:4" x14ac:dyDescent="0.2">
      <c r="A230" s="94" t="s">
        <v>191</v>
      </c>
      <c r="B230" s="95" t="s">
        <v>158</v>
      </c>
      <c r="C230" s="95" t="s">
        <v>442</v>
      </c>
      <c r="D230" s="101" t="s">
        <v>442</v>
      </c>
    </row>
    <row r="231" spans="1:4" x14ac:dyDescent="0.2">
      <c r="A231" s="94" t="s">
        <v>192</v>
      </c>
      <c r="B231" s="95" t="s">
        <v>158</v>
      </c>
      <c r="C231" s="95" t="s">
        <v>443</v>
      </c>
      <c r="D231" s="101" t="s">
        <v>443</v>
      </c>
    </row>
    <row r="232" spans="1:4" x14ac:dyDescent="0.2">
      <c r="A232" s="94" t="s">
        <v>193</v>
      </c>
      <c r="B232" s="95" t="s">
        <v>158</v>
      </c>
      <c r="C232" s="95" t="s">
        <v>444</v>
      </c>
      <c r="D232" s="101" t="s">
        <v>444</v>
      </c>
    </row>
    <row r="233" spans="1:4" x14ac:dyDescent="0.2">
      <c r="A233" s="94" t="s">
        <v>194</v>
      </c>
      <c r="B233" s="95" t="s">
        <v>158</v>
      </c>
      <c r="C233" s="95" t="s">
        <v>953</v>
      </c>
      <c r="D233" s="101" t="s">
        <v>953</v>
      </c>
    </row>
    <row r="234" spans="1:4" x14ac:dyDescent="0.2">
      <c r="A234" s="94" t="s">
        <v>195</v>
      </c>
      <c r="B234" s="95" t="s">
        <v>158</v>
      </c>
      <c r="C234" s="95" t="s">
        <v>445</v>
      </c>
      <c r="D234" s="101" t="s">
        <v>445</v>
      </c>
    </row>
    <row r="235" spans="1:4" x14ac:dyDescent="0.2">
      <c r="A235" s="94" t="s">
        <v>196</v>
      </c>
      <c r="B235" s="95" t="s">
        <v>158</v>
      </c>
      <c r="C235" s="95" t="s">
        <v>954</v>
      </c>
      <c r="D235" s="101" t="s">
        <v>954</v>
      </c>
    </row>
    <row r="236" spans="1:4" x14ac:dyDescent="0.2">
      <c r="A236" s="94" t="s">
        <v>197</v>
      </c>
      <c r="B236" s="95" t="s">
        <v>158</v>
      </c>
      <c r="C236" s="95" t="s">
        <v>446</v>
      </c>
      <c r="D236" s="101" t="s">
        <v>446</v>
      </c>
    </row>
    <row r="237" spans="1:4" x14ac:dyDescent="0.2">
      <c r="A237" s="94" t="s">
        <v>198</v>
      </c>
      <c r="B237" s="95" t="s">
        <v>158</v>
      </c>
      <c r="C237" s="95" t="s">
        <v>447</v>
      </c>
      <c r="D237" s="101" t="s">
        <v>447</v>
      </c>
    </row>
    <row r="238" spans="1:4" x14ac:dyDescent="0.2">
      <c r="A238" s="94" t="s">
        <v>199</v>
      </c>
      <c r="B238" s="95" t="s">
        <v>448</v>
      </c>
      <c r="C238" s="95" t="s">
        <v>914</v>
      </c>
      <c r="D238" s="101" t="s">
        <v>914</v>
      </c>
    </row>
    <row r="239" spans="1:4" x14ac:dyDescent="0.2">
      <c r="A239" s="94" t="s">
        <v>200</v>
      </c>
      <c r="B239" s="95" t="s">
        <v>448</v>
      </c>
      <c r="C239" s="95" t="s">
        <v>914</v>
      </c>
      <c r="D239" s="101" t="s">
        <v>449</v>
      </c>
    </row>
    <row r="240" spans="1:4" x14ac:dyDescent="0.2">
      <c r="A240" s="94" t="s">
        <v>201</v>
      </c>
      <c r="B240" s="95" t="s">
        <v>448</v>
      </c>
      <c r="C240" s="95" t="s">
        <v>450</v>
      </c>
      <c r="D240" s="101" t="s">
        <v>450</v>
      </c>
    </row>
    <row r="241" spans="1:4" x14ac:dyDescent="0.2">
      <c r="A241" s="94" t="s">
        <v>202</v>
      </c>
      <c r="B241" s="95" t="s">
        <v>448</v>
      </c>
      <c r="C241" s="95" t="s">
        <v>451</v>
      </c>
      <c r="D241" s="101" t="s">
        <v>451</v>
      </c>
    </row>
    <row r="242" spans="1:4" x14ac:dyDescent="0.2">
      <c r="A242" s="102" t="s">
        <v>826</v>
      </c>
      <c r="B242" s="103" t="s">
        <v>448</v>
      </c>
      <c r="C242" s="105" t="s">
        <v>842</v>
      </c>
      <c r="D242" s="105" t="s">
        <v>821</v>
      </c>
    </row>
    <row r="243" spans="1:4" x14ac:dyDescent="0.2">
      <c r="A243" s="102" t="s">
        <v>827</v>
      </c>
      <c r="B243" s="103" t="s">
        <v>448</v>
      </c>
      <c r="C243" s="105" t="s">
        <v>843</v>
      </c>
      <c r="D243" s="105" t="s">
        <v>822</v>
      </c>
    </row>
    <row r="244" spans="1:4" x14ac:dyDescent="0.2">
      <c r="A244" s="102" t="s">
        <v>828</v>
      </c>
      <c r="B244" s="103" t="s">
        <v>448</v>
      </c>
      <c r="C244" s="105" t="s">
        <v>844</v>
      </c>
      <c r="D244" s="105" t="s">
        <v>823</v>
      </c>
    </row>
    <row r="245" spans="1:4" x14ac:dyDescent="0.2">
      <c r="A245" s="102" t="s">
        <v>829</v>
      </c>
      <c r="B245" s="103" t="s">
        <v>448</v>
      </c>
      <c r="C245" s="105" t="s">
        <v>845</v>
      </c>
      <c r="D245" s="105" t="s">
        <v>824</v>
      </c>
    </row>
    <row r="246" spans="1:4" x14ac:dyDescent="0.2">
      <c r="A246" s="102" t="s">
        <v>830</v>
      </c>
      <c r="B246" s="103" t="s">
        <v>448</v>
      </c>
      <c r="C246" s="105" t="s">
        <v>846</v>
      </c>
      <c r="D246" s="105" t="s">
        <v>825</v>
      </c>
    </row>
    <row r="247" spans="1:4" x14ac:dyDescent="0.2">
      <c r="A247" s="94" t="s">
        <v>203</v>
      </c>
      <c r="B247" s="95" t="s">
        <v>448</v>
      </c>
      <c r="C247" s="95" t="s">
        <v>451</v>
      </c>
      <c r="D247" s="101" t="s">
        <v>452</v>
      </c>
    </row>
    <row r="248" spans="1:4" x14ac:dyDescent="0.2">
      <c r="A248" s="94" t="s">
        <v>204</v>
      </c>
      <c r="B248" s="95" t="s">
        <v>448</v>
      </c>
      <c r="C248" s="95" t="s">
        <v>451</v>
      </c>
      <c r="D248" s="101" t="s">
        <v>453</v>
      </c>
    </row>
    <row r="249" spans="1:4" x14ac:dyDescent="0.2">
      <c r="A249" s="94" t="s">
        <v>205</v>
      </c>
      <c r="B249" s="95" t="s">
        <v>448</v>
      </c>
      <c r="C249" s="95" t="s">
        <v>451</v>
      </c>
      <c r="D249" s="101" t="s">
        <v>454</v>
      </c>
    </row>
    <row r="250" spans="1:4" x14ac:dyDescent="0.2">
      <c r="A250" s="94" t="s">
        <v>206</v>
      </c>
      <c r="B250" s="95" t="s">
        <v>207</v>
      </c>
      <c r="C250" s="95" t="s">
        <v>455</v>
      </c>
      <c r="D250" s="101" t="s">
        <v>455</v>
      </c>
    </row>
    <row r="251" spans="1:4" x14ac:dyDescent="0.2">
      <c r="A251" s="94" t="s">
        <v>208</v>
      </c>
      <c r="B251" s="95" t="s">
        <v>207</v>
      </c>
      <c r="C251" s="95" t="s">
        <v>455</v>
      </c>
      <c r="D251" s="101" t="s">
        <v>796</v>
      </c>
    </row>
    <row r="252" spans="1:4" x14ac:dyDescent="0.2">
      <c r="A252" s="94" t="s">
        <v>209</v>
      </c>
      <c r="B252" s="95" t="s">
        <v>207</v>
      </c>
      <c r="C252" s="95" t="s">
        <v>455</v>
      </c>
      <c r="D252" s="101" t="s">
        <v>456</v>
      </c>
    </row>
    <row r="253" spans="1:4" x14ac:dyDescent="0.2">
      <c r="A253" s="94" t="s">
        <v>955</v>
      </c>
      <c r="B253" s="95" t="s">
        <v>207</v>
      </c>
      <c r="C253" s="95" t="s">
        <v>455</v>
      </c>
      <c r="D253" s="101" t="s">
        <v>956</v>
      </c>
    </row>
    <row r="254" spans="1:4" x14ac:dyDescent="0.2">
      <c r="A254" s="94" t="s">
        <v>210</v>
      </c>
      <c r="B254" s="95" t="s">
        <v>207</v>
      </c>
      <c r="C254" s="95" t="s">
        <v>457</v>
      </c>
      <c r="D254" s="101" t="s">
        <v>457</v>
      </c>
    </row>
    <row r="255" spans="1:4" x14ac:dyDescent="0.2">
      <c r="A255" s="94" t="s">
        <v>211</v>
      </c>
      <c r="B255" s="95" t="s">
        <v>207</v>
      </c>
      <c r="C255" s="95" t="s">
        <v>797</v>
      </c>
      <c r="D255" s="101" t="s">
        <v>797</v>
      </c>
    </row>
    <row r="256" spans="1:4" x14ac:dyDescent="0.2">
      <c r="A256" s="94" t="s">
        <v>212</v>
      </c>
      <c r="B256" s="95" t="s">
        <v>207</v>
      </c>
      <c r="C256" s="95" t="s">
        <v>798</v>
      </c>
      <c r="D256" s="101" t="s">
        <v>798</v>
      </c>
    </row>
    <row r="257" spans="1:4" x14ac:dyDescent="0.2">
      <c r="A257" s="94" t="s">
        <v>213</v>
      </c>
      <c r="B257" s="95" t="s">
        <v>207</v>
      </c>
      <c r="C257" s="95" t="s">
        <v>799</v>
      </c>
      <c r="D257" s="101" t="s">
        <v>799</v>
      </c>
    </row>
    <row r="258" spans="1:4" x14ac:dyDescent="0.2">
      <c r="A258" s="94" t="s">
        <v>214</v>
      </c>
      <c r="B258" s="95" t="s">
        <v>207</v>
      </c>
      <c r="C258" s="95" t="s">
        <v>800</v>
      </c>
      <c r="D258" s="101" t="s">
        <v>800</v>
      </c>
    </row>
    <row r="259" spans="1:4" x14ac:dyDescent="0.2">
      <c r="A259" s="94" t="s">
        <v>215</v>
      </c>
      <c r="B259" s="95" t="s">
        <v>207</v>
      </c>
      <c r="C259" s="95" t="s">
        <v>801</v>
      </c>
      <c r="D259" s="101" t="s">
        <v>801</v>
      </c>
    </row>
    <row r="260" spans="1:4" x14ac:dyDescent="0.2">
      <c r="A260" s="94" t="s">
        <v>216</v>
      </c>
      <c r="B260" s="95" t="s">
        <v>207</v>
      </c>
      <c r="C260" s="95" t="s">
        <v>802</v>
      </c>
      <c r="D260" s="101" t="s">
        <v>802</v>
      </c>
    </row>
    <row r="261" spans="1:4" x14ac:dyDescent="0.2">
      <c r="A261" s="94" t="s">
        <v>217</v>
      </c>
      <c r="B261" s="95" t="s">
        <v>207</v>
      </c>
      <c r="C261" s="95" t="s">
        <v>803</v>
      </c>
      <c r="D261" s="101" t="s">
        <v>803</v>
      </c>
    </row>
    <row r="262" spans="1:4" x14ac:dyDescent="0.2">
      <c r="A262" s="94" t="s">
        <v>218</v>
      </c>
      <c r="B262" s="95" t="s">
        <v>207</v>
      </c>
      <c r="C262" s="95" t="s">
        <v>804</v>
      </c>
      <c r="D262" s="101" t="s">
        <v>804</v>
      </c>
    </row>
    <row r="263" spans="1:4" x14ac:dyDescent="0.2">
      <c r="A263" s="94" t="s">
        <v>219</v>
      </c>
      <c r="B263" s="95" t="s">
        <v>207</v>
      </c>
      <c r="C263" s="95" t="s">
        <v>805</v>
      </c>
      <c r="D263" s="101" t="s">
        <v>805</v>
      </c>
    </row>
    <row r="264" spans="1:4" s="55" customFormat="1" x14ac:dyDescent="0.2">
      <c r="A264" s="94" t="s">
        <v>220</v>
      </c>
      <c r="B264" s="95" t="s">
        <v>207</v>
      </c>
      <c r="C264" s="95" t="s">
        <v>806</v>
      </c>
      <c r="D264" s="101" t="s">
        <v>806</v>
      </c>
    </row>
    <row r="265" spans="1:4" s="55" customFormat="1" x14ac:dyDescent="0.2">
      <c r="A265" s="94" t="s">
        <v>221</v>
      </c>
      <c r="B265" s="95" t="s">
        <v>207</v>
      </c>
      <c r="C265" s="95" t="s">
        <v>957</v>
      </c>
      <c r="D265" s="101" t="s">
        <v>957</v>
      </c>
    </row>
    <row r="266" spans="1:4" x14ac:dyDescent="0.2">
      <c r="A266" s="94" t="s">
        <v>222</v>
      </c>
      <c r="B266" s="95" t="s">
        <v>207</v>
      </c>
      <c r="C266" s="95" t="s">
        <v>958</v>
      </c>
      <c r="D266" s="101" t="s">
        <v>958</v>
      </c>
    </row>
    <row r="267" spans="1:4" x14ac:dyDescent="0.2">
      <c r="A267" s="94" t="s">
        <v>223</v>
      </c>
      <c r="B267" s="95" t="s">
        <v>207</v>
      </c>
      <c r="C267" s="95" t="s">
        <v>807</v>
      </c>
      <c r="D267" s="101" t="s">
        <v>807</v>
      </c>
    </row>
    <row r="268" spans="1:4" x14ac:dyDescent="0.2">
      <c r="A268" s="94" t="s">
        <v>224</v>
      </c>
      <c r="B268" s="95" t="s">
        <v>207</v>
      </c>
      <c r="C268" s="95" t="s">
        <v>808</v>
      </c>
      <c r="D268" s="101" t="s">
        <v>808</v>
      </c>
    </row>
    <row r="269" spans="1:4" x14ac:dyDescent="0.2">
      <c r="A269" s="94" t="s">
        <v>225</v>
      </c>
      <c r="B269" s="95" t="s">
        <v>207</v>
      </c>
      <c r="C269" s="95" t="s">
        <v>809</v>
      </c>
      <c r="D269" s="101" t="s">
        <v>809</v>
      </c>
    </row>
    <row r="270" spans="1:4" x14ac:dyDescent="0.2">
      <c r="A270" s="94" t="s">
        <v>810</v>
      </c>
      <c r="B270" s="95" t="s">
        <v>207</v>
      </c>
      <c r="C270" s="95" t="s">
        <v>959</v>
      </c>
      <c r="D270" s="101" t="s">
        <v>959</v>
      </c>
    </row>
    <row r="271" spans="1:4" x14ac:dyDescent="0.2">
      <c r="A271" s="94" t="s">
        <v>226</v>
      </c>
      <c r="B271" s="95" t="s">
        <v>227</v>
      </c>
      <c r="C271" s="95" t="s">
        <v>458</v>
      </c>
      <c r="D271" s="101" t="s">
        <v>458</v>
      </c>
    </row>
    <row r="272" spans="1:4" x14ac:dyDescent="0.2">
      <c r="A272" s="94" t="s">
        <v>228</v>
      </c>
      <c r="B272" s="95" t="s">
        <v>227</v>
      </c>
      <c r="C272" s="95" t="s">
        <v>458</v>
      </c>
      <c r="D272" s="101" t="s">
        <v>960</v>
      </c>
    </row>
    <row r="273" spans="1:4" x14ac:dyDescent="0.2">
      <c r="A273" s="94" t="s">
        <v>229</v>
      </c>
      <c r="B273" s="95" t="s">
        <v>227</v>
      </c>
      <c r="C273" s="95" t="s">
        <v>458</v>
      </c>
      <c r="D273" s="101" t="s">
        <v>459</v>
      </c>
    </row>
    <row r="274" spans="1:4" x14ac:dyDescent="0.2">
      <c r="A274" s="94" t="s">
        <v>230</v>
      </c>
      <c r="B274" s="95" t="s">
        <v>227</v>
      </c>
      <c r="C274" s="95" t="s">
        <v>458</v>
      </c>
      <c r="D274" s="101" t="s">
        <v>961</v>
      </c>
    </row>
    <row r="275" spans="1:4" x14ac:dyDescent="0.2">
      <c r="A275" s="94" t="s">
        <v>231</v>
      </c>
      <c r="B275" s="95" t="s">
        <v>227</v>
      </c>
      <c r="C275" s="95" t="s">
        <v>458</v>
      </c>
      <c r="D275" s="101" t="s">
        <v>619</v>
      </c>
    </row>
    <row r="276" spans="1:4" x14ac:dyDescent="0.2">
      <c r="A276" s="94" t="s">
        <v>232</v>
      </c>
      <c r="B276" s="95" t="s">
        <v>227</v>
      </c>
      <c r="C276" s="95" t="s">
        <v>458</v>
      </c>
      <c r="D276" s="101" t="s">
        <v>460</v>
      </c>
    </row>
    <row r="277" spans="1:4" x14ac:dyDescent="0.2">
      <c r="A277" s="94" t="s">
        <v>233</v>
      </c>
      <c r="B277" s="95" t="s">
        <v>227</v>
      </c>
      <c r="C277" s="95" t="s">
        <v>458</v>
      </c>
      <c r="D277" s="101" t="s">
        <v>461</v>
      </c>
    </row>
    <row r="278" spans="1:4" x14ac:dyDescent="0.2">
      <c r="A278" s="94" t="s">
        <v>962</v>
      </c>
      <c r="B278" s="95" t="s">
        <v>227</v>
      </c>
      <c r="C278" s="95" t="s">
        <v>458</v>
      </c>
      <c r="D278" s="101" t="s">
        <v>963</v>
      </c>
    </row>
    <row r="279" spans="1:4" ht="15.75" customHeight="1" x14ac:dyDescent="0.2">
      <c r="A279" s="94" t="s">
        <v>234</v>
      </c>
      <c r="B279" s="95" t="s">
        <v>227</v>
      </c>
      <c r="C279" s="95" t="s">
        <v>462</v>
      </c>
      <c r="D279" s="101" t="s">
        <v>462</v>
      </c>
    </row>
    <row r="280" spans="1:4" ht="15.75" customHeight="1" x14ac:dyDescent="0.2">
      <c r="A280" s="94" t="s">
        <v>235</v>
      </c>
      <c r="B280" s="95" t="s">
        <v>227</v>
      </c>
      <c r="C280" s="95" t="s">
        <v>463</v>
      </c>
      <c r="D280" s="101" t="s">
        <v>463</v>
      </c>
    </row>
    <row r="281" spans="1:4" ht="15.75" customHeight="1" x14ac:dyDescent="0.2">
      <c r="A281" s="94" t="s">
        <v>236</v>
      </c>
      <c r="B281" s="95" t="s">
        <v>464</v>
      </c>
      <c r="C281" s="95" t="s">
        <v>465</v>
      </c>
      <c r="D281" s="101" t="s">
        <v>465</v>
      </c>
    </row>
    <row r="282" spans="1:4" ht="15.75" customHeight="1" x14ac:dyDescent="0.2">
      <c r="A282" s="94" t="s">
        <v>237</v>
      </c>
      <c r="B282" s="95" t="s">
        <v>464</v>
      </c>
      <c r="C282" s="95" t="s">
        <v>466</v>
      </c>
      <c r="D282" s="101" t="s">
        <v>466</v>
      </c>
    </row>
    <row r="283" spans="1:4" ht="15.75" customHeight="1" x14ac:dyDescent="0.2">
      <c r="A283" s="94" t="s">
        <v>524</v>
      </c>
      <c r="B283" s="95" t="s">
        <v>964</v>
      </c>
      <c r="C283" s="95" t="s">
        <v>493</v>
      </c>
      <c r="D283" s="101" t="s">
        <v>493</v>
      </c>
    </row>
    <row r="284" spans="1:4" ht="15.75" customHeight="1" x14ac:dyDescent="0.2">
      <c r="A284" s="94" t="s">
        <v>620</v>
      </c>
      <c r="B284" s="95" t="s">
        <v>964</v>
      </c>
      <c r="C284" s="95" t="s">
        <v>493</v>
      </c>
      <c r="D284" s="101" t="s">
        <v>621</v>
      </c>
    </row>
    <row r="285" spans="1:4" ht="15.75" customHeight="1" x14ac:dyDescent="0.2">
      <c r="A285" s="94" t="s">
        <v>965</v>
      </c>
      <c r="B285" s="95" t="s">
        <v>964</v>
      </c>
      <c r="C285" s="95" t="s">
        <v>493</v>
      </c>
      <c r="D285" s="101" t="s">
        <v>966</v>
      </c>
    </row>
    <row r="286" spans="1:4" ht="15.75" customHeight="1" x14ac:dyDescent="0.2">
      <c r="A286" s="94" t="s">
        <v>238</v>
      </c>
      <c r="B286" s="95" t="s">
        <v>964</v>
      </c>
      <c r="C286" s="95" t="s">
        <v>650</v>
      </c>
      <c r="D286" s="101" t="s">
        <v>650</v>
      </c>
    </row>
    <row r="287" spans="1:4" ht="15.75" customHeight="1" x14ac:dyDescent="0.2">
      <c r="A287" s="94" t="s">
        <v>860</v>
      </c>
      <c r="B287" s="95" t="s">
        <v>964</v>
      </c>
      <c r="C287" s="95" t="s">
        <v>650</v>
      </c>
      <c r="D287" s="101" t="s">
        <v>967</v>
      </c>
    </row>
    <row r="288" spans="1:4" ht="15.75" customHeight="1" x14ac:dyDescent="0.2">
      <c r="A288" s="94" t="s">
        <v>861</v>
      </c>
      <c r="B288" s="95" t="s">
        <v>964</v>
      </c>
      <c r="C288" s="95" t="s">
        <v>650</v>
      </c>
      <c r="D288" s="101" t="s">
        <v>968</v>
      </c>
    </row>
    <row r="289" spans="1:4" ht="15.75" customHeight="1" x14ac:dyDescent="0.2">
      <c r="A289" s="94" t="s">
        <v>239</v>
      </c>
      <c r="B289" s="95" t="s">
        <v>964</v>
      </c>
      <c r="C289" s="95" t="s">
        <v>468</v>
      </c>
      <c r="D289" s="101" t="s">
        <v>468</v>
      </c>
    </row>
    <row r="290" spans="1:4" ht="15.75" customHeight="1" x14ac:dyDescent="0.2">
      <c r="A290" s="94" t="s">
        <v>240</v>
      </c>
      <c r="B290" s="95" t="s">
        <v>964</v>
      </c>
      <c r="C290" s="95" t="s">
        <v>469</v>
      </c>
      <c r="D290" s="101" t="s">
        <v>469</v>
      </c>
    </row>
    <row r="291" spans="1:4" ht="15.75" customHeight="1" x14ac:dyDescent="0.2">
      <c r="A291" s="94" t="s">
        <v>241</v>
      </c>
      <c r="B291" s="95" t="s">
        <v>964</v>
      </c>
      <c r="C291" s="95" t="s">
        <v>470</v>
      </c>
      <c r="D291" s="101" t="s">
        <v>470</v>
      </c>
    </row>
    <row r="292" spans="1:4" ht="15.75" customHeight="1" x14ac:dyDescent="0.2">
      <c r="A292" s="94" t="s">
        <v>242</v>
      </c>
      <c r="B292" s="95" t="s">
        <v>964</v>
      </c>
      <c r="C292" s="95" t="s">
        <v>471</v>
      </c>
      <c r="D292" s="101" t="s">
        <v>471</v>
      </c>
    </row>
    <row r="293" spans="1:4" ht="15.75" customHeight="1" x14ac:dyDescent="0.2">
      <c r="A293" s="94" t="s">
        <v>525</v>
      </c>
      <c r="B293" s="95" t="s">
        <v>964</v>
      </c>
      <c r="C293" s="95" t="s">
        <v>492</v>
      </c>
      <c r="D293" s="101" t="s">
        <v>492</v>
      </c>
    </row>
    <row r="294" spans="1:4" x14ac:dyDescent="0.2">
      <c r="A294" s="94" t="s">
        <v>719</v>
      </c>
      <c r="B294" s="95" t="s">
        <v>964</v>
      </c>
      <c r="C294" s="95" t="s">
        <v>811</v>
      </c>
      <c r="D294" s="101" t="s">
        <v>811</v>
      </c>
    </row>
    <row r="295" spans="1:4" x14ac:dyDescent="0.2">
      <c r="A295" s="94" t="s">
        <v>720</v>
      </c>
      <c r="B295" s="95" t="s">
        <v>964</v>
      </c>
      <c r="C295" s="95" t="s">
        <v>811</v>
      </c>
      <c r="D295" s="101" t="s">
        <v>969</v>
      </c>
    </row>
    <row r="296" spans="1:4" x14ac:dyDescent="0.2">
      <c r="A296" s="94" t="s">
        <v>852</v>
      </c>
      <c r="B296" s="95" t="s">
        <v>964</v>
      </c>
      <c r="C296" s="95" t="s">
        <v>853</v>
      </c>
      <c r="D296" s="101" t="s">
        <v>853</v>
      </c>
    </row>
    <row r="297" spans="1:4" x14ac:dyDescent="0.2">
      <c r="A297" s="94" t="s">
        <v>862</v>
      </c>
      <c r="B297" s="95" t="s">
        <v>964</v>
      </c>
      <c r="C297" s="95" t="s">
        <v>853</v>
      </c>
      <c r="D297" s="101" t="s">
        <v>970</v>
      </c>
    </row>
    <row r="298" spans="1:4" x14ac:dyDescent="0.2">
      <c r="A298" s="94" t="s">
        <v>243</v>
      </c>
      <c r="B298" s="95" t="s">
        <v>472</v>
      </c>
      <c r="C298" s="95" t="s">
        <v>473</v>
      </c>
      <c r="D298" s="101" t="s">
        <v>473</v>
      </c>
    </row>
    <row r="299" spans="1:4" x14ac:dyDescent="0.2">
      <c r="A299" s="94" t="s">
        <v>474</v>
      </c>
      <c r="B299" s="95" t="s">
        <v>472</v>
      </c>
      <c r="C299" s="95" t="s">
        <v>473</v>
      </c>
      <c r="D299" s="101" t="s">
        <v>697</v>
      </c>
    </row>
    <row r="300" spans="1:4" x14ac:dyDescent="0.2">
      <c r="A300" s="94" t="s">
        <v>606</v>
      </c>
      <c r="B300" s="95" t="s">
        <v>472</v>
      </c>
      <c r="C300" s="95" t="s">
        <v>473</v>
      </c>
      <c r="D300" s="101" t="s">
        <v>329</v>
      </c>
    </row>
    <row r="301" spans="1:4" x14ac:dyDescent="0.2">
      <c r="A301" s="94" t="s">
        <v>971</v>
      </c>
      <c r="B301" s="95" t="s">
        <v>472</v>
      </c>
      <c r="C301" s="95" t="s">
        <v>473</v>
      </c>
      <c r="D301" s="101" t="s">
        <v>972</v>
      </c>
    </row>
    <row r="302" spans="1:4" x14ac:dyDescent="0.2">
      <c r="A302" s="94" t="s">
        <v>973</v>
      </c>
      <c r="B302" s="95" t="s">
        <v>472</v>
      </c>
      <c r="C302" s="95" t="s">
        <v>473</v>
      </c>
      <c r="D302" s="101" t="s">
        <v>974</v>
      </c>
    </row>
    <row r="303" spans="1:4" x14ac:dyDescent="0.2">
      <c r="A303" s="94" t="s">
        <v>244</v>
      </c>
      <c r="B303" s="95" t="s">
        <v>475</v>
      </c>
      <c r="C303" s="95" t="s">
        <v>476</v>
      </c>
      <c r="D303" s="101" t="s">
        <v>476</v>
      </c>
    </row>
    <row r="304" spans="1:4" x14ac:dyDescent="0.2">
      <c r="A304" s="94" t="s">
        <v>245</v>
      </c>
      <c r="B304" s="95" t="s">
        <v>477</v>
      </c>
      <c r="C304" s="95" t="s">
        <v>478</v>
      </c>
      <c r="D304" s="101" t="s">
        <v>478</v>
      </c>
    </row>
    <row r="305" spans="1:4" x14ac:dyDescent="0.2">
      <c r="A305" s="94" t="s">
        <v>246</v>
      </c>
      <c r="B305" s="95" t="s">
        <v>477</v>
      </c>
      <c r="C305" s="95" t="s">
        <v>478</v>
      </c>
      <c r="D305" s="101" t="s">
        <v>975</v>
      </c>
    </row>
    <row r="306" spans="1:4" x14ac:dyDescent="0.2">
      <c r="A306" s="94" t="s">
        <v>247</v>
      </c>
      <c r="B306" s="95" t="s">
        <v>477</v>
      </c>
      <c r="C306" s="95" t="s">
        <v>478</v>
      </c>
      <c r="D306" s="101" t="s">
        <v>479</v>
      </c>
    </row>
    <row r="307" spans="1:4" x14ac:dyDescent="0.2">
      <c r="A307" s="94" t="s">
        <v>623</v>
      </c>
      <c r="B307" s="95" t="s">
        <v>477</v>
      </c>
      <c r="C307" s="95" t="s">
        <v>478</v>
      </c>
      <c r="D307" s="101" t="s">
        <v>624</v>
      </c>
    </row>
    <row r="308" spans="1:4" x14ac:dyDescent="0.2">
      <c r="A308" s="94" t="s">
        <v>893</v>
      </c>
      <c r="B308" s="95" t="s">
        <v>477</v>
      </c>
      <c r="C308" s="95" t="s">
        <v>478</v>
      </c>
      <c r="D308" s="101" t="s">
        <v>894</v>
      </c>
    </row>
    <row r="309" spans="1:4" x14ac:dyDescent="0.2">
      <c r="A309" s="94" t="s">
        <v>248</v>
      </c>
      <c r="B309" s="95" t="s">
        <v>477</v>
      </c>
      <c r="C309" s="95" t="s">
        <v>480</v>
      </c>
      <c r="D309" s="101" t="s">
        <v>480</v>
      </c>
    </row>
    <row r="310" spans="1:4" x14ac:dyDescent="0.2">
      <c r="A310" s="94" t="s">
        <v>249</v>
      </c>
      <c r="B310" s="95" t="s">
        <v>477</v>
      </c>
      <c r="C310" s="95" t="s">
        <v>481</v>
      </c>
      <c r="D310" s="101" t="s">
        <v>481</v>
      </c>
    </row>
    <row r="311" spans="1:4" x14ac:dyDescent="0.2">
      <c r="A311" s="94" t="s">
        <v>250</v>
      </c>
      <c r="B311" s="95" t="s">
        <v>477</v>
      </c>
      <c r="C311" s="95" t="s">
        <v>482</v>
      </c>
      <c r="D311" s="101" t="s">
        <v>482</v>
      </c>
    </row>
    <row r="312" spans="1:4" x14ac:dyDescent="0.2">
      <c r="A312" s="94" t="s">
        <v>251</v>
      </c>
      <c r="B312" s="95" t="s">
        <v>252</v>
      </c>
      <c r="C312" s="95" t="s">
        <v>483</v>
      </c>
      <c r="D312" s="101" t="s">
        <v>483</v>
      </c>
    </row>
    <row r="313" spans="1:4" x14ac:dyDescent="0.2">
      <c r="A313" s="94" t="s">
        <v>895</v>
      </c>
      <c r="B313" s="95" t="s">
        <v>252</v>
      </c>
      <c r="C313" s="95" t="s">
        <v>483</v>
      </c>
      <c r="D313" s="101" t="s">
        <v>896</v>
      </c>
    </row>
    <row r="314" spans="1:4" x14ac:dyDescent="0.2">
      <c r="A314" s="94" t="s">
        <v>253</v>
      </c>
      <c r="B314" s="95" t="s">
        <v>252</v>
      </c>
      <c r="C314" s="95" t="s">
        <v>484</v>
      </c>
      <c r="D314" s="101" t="s">
        <v>484</v>
      </c>
    </row>
    <row r="315" spans="1:4" x14ac:dyDescent="0.2">
      <c r="A315" s="94" t="s">
        <v>254</v>
      </c>
      <c r="B315" s="95" t="s">
        <v>252</v>
      </c>
      <c r="C315" s="95" t="s">
        <v>485</v>
      </c>
      <c r="D315" s="101" t="s">
        <v>485</v>
      </c>
    </row>
    <row r="316" spans="1:4" x14ac:dyDescent="0.2">
      <c r="A316" s="94" t="s">
        <v>1027</v>
      </c>
      <c r="B316" s="95" t="s">
        <v>252</v>
      </c>
      <c r="C316" s="95" t="s">
        <v>1026</v>
      </c>
      <c r="D316" s="101" t="s">
        <v>1026</v>
      </c>
    </row>
    <row r="317" spans="1:4" x14ac:dyDescent="0.2">
      <c r="A317" s="94" t="s">
        <v>625</v>
      </c>
      <c r="B317" s="95" t="s">
        <v>626</v>
      </c>
      <c r="C317" s="95" t="s">
        <v>627</v>
      </c>
      <c r="D317" s="101" t="s">
        <v>627</v>
      </c>
    </row>
    <row r="318" spans="1:4" x14ac:dyDescent="0.2">
      <c r="A318" s="94" t="s">
        <v>628</v>
      </c>
      <c r="B318" s="95" t="s">
        <v>626</v>
      </c>
      <c r="C318" s="95" t="s">
        <v>467</v>
      </c>
      <c r="D318" s="101" t="s">
        <v>467</v>
      </c>
    </row>
    <row r="319" spans="1:4" x14ac:dyDescent="0.2">
      <c r="A319" s="94" t="s">
        <v>629</v>
      </c>
      <c r="B319" s="95" t="s">
        <v>626</v>
      </c>
      <c r="C319" s="95" t="s">
        <v>467</v>
      </c>
      <c r="D319" s="101" t="s">
        <v>651</v>
      </c>
    </row>
    <row r="320" spans="1:4" x14ac:dyDescent="0.2">
      <c r="A320" s="94" t="s">
        <v>976</v>
      </c>
      <c r="B320" s="95" t="s">
        <v>626</v>
      </c>
      <c r="C320" s="95" t="s">
        <v>467</v>
      </c>
      <c r="D320" s="101" t="s">
        <v>977</v>
      </c>
    </row>
    <row r="321" spans="1:4" x14ac:dyDescent="0.2">
      <c r="A321" s="94" t="s">
        <v>978</v>
      </c>
      <c r="B321" s="95" t="s">
        <v>626</v>
      </c>
      <c r="C321" s="95" t="s">
        <v>467</v>
      </c>
      <c r="D321" s="101" t="s">
        <v>979</v>
      </c>
    </row>
    <row r="322" spans="1:4" x14ac:dyDescent="0.2">
      <c r="A322" s="94" t="s">
        <v>980</v>
      </c>
      <c r="B322" s="95" t="s">
        <v>626</v>
      </c>
      <c r="C322" s="95" t="s">
        <v>467</v>
      </c>
      <c r="D322" s="101" t="s">
        <v>981</v>
      </c>
    </row>
    <row r="323" spans="1:4" x14ac:dyDescent="0.2">
      <c r="A323" s="94" t="s">
        <v>654</v>
      </c>
      <c r="B323" s="95" t="s">
        <v>655</v>
      </c>
      <c r="C323" s="95" t="s">
        <v>656</v>
      </c>
      <c r="D323" s="95" t="s">
        <v>656</v>
      </c>
    </row>
    <row r="324" spans="1:4" x14ac:dyDescent="0.2">
      <c r="A324" s="94" t="s">
        <v>897</v>
      </c>
      <c r="B324" s="95" t="s">
        <v>655</v>
      </c>
      <c r="C324" s="95" t="s">
        <v>656</v>
      </c>
      <c r="D324" s="95" t="s">
        <v>982</v>
      </c>
    </row>
    <row r="325" spans="1:4" x14ac:dyDescent="0.2">
      <c r="A325" s="94" t="s">
        <v>657</v>
      </c>
      <c r="B325" s="95" t="s">
        <v>655</v>
      </c>
      <c r="C325" s="95" t="s">
        <v>681</v>
      </c>
      <c r="D325" s="95" t="s">
        <v>681</v>
      </c>
    </row>
    <row r="326" spans="1:4" x14ac:dyDescent="0.2">
      <c r="A326" s="94" t="s">
        <v>658</v>
      </c>
      <c r="B326" s="95" t="s">
        <v>655</v>
      </c>
      <c r="C326" s="95" t="s">
        <v>681</v>
      </c>
      <c r="D326" s="95" t="s">
        <v>622</v>
      </c>
    </row>
    <row r="327" spans="1:4" x14ac:dyDescent="0.2">
      <c r="A327" s="94" t="s">
        <v>659</v>
      </c>
      <c r="B327" s="95" t="s">
        <v>655</v>
      </c>
      <c r="C327" s="95" t="s">
        <v>681</v>
      </c>
      <c r="D327" s="95" t="s">
        <v>983</v>
      </c>
    </row>
    <row r="328" spans="1:4" x14ac:dyDescent="0.2">
      <c r="A328" s="94" t="s">
        <v>682</v>
      </c>
      <c r="B328" s="95" t="s">
        <v>35</v>
      </c>
      <c r="C328" s="95" t="s">
        <v>301</v>
      </c>
      <c r="D328" s="95" t="s">
        <v>301</v>
      </c>
    </row>
    <row r="329" spans="1:4" x14ac:dyDescent="0.2">
      <c r="A329" s="94" t="s">
        <v>698</v>
      </c>
      <c r="B329" s="95" t="s">
        <v>984</v>
      </c>
      <c r="C329" s="95" t="s">
        <v>699</v>
      </c>
      <c r="D329" s="95" t="s">
        <v>699</v>
      </c>
    </row>
    <row r="330" spans="1:4" x14ac:dyDescent="0.2">
      <c r="A330" s="94" t="s">
        <v>700</v>
      </c>
      <c r="B330" s="95" t="s">
        <v>984</v>
      </c>
      <c r="C330" s="95" t="s">
        <v>699</v>
      </c>
      <c r="D330" s="95" t="s">
        <v>351</v>
      </c>
    </row>
    <row r="331" spans="1:4" x14ac:dyDescent="0.2">
      <c r="A331" s="94" t="s">
        <v>985</v>
      </c>
      <c r="B331" s="95" t="s">
        <v>984</v>
      </c>
      <c r="C331" s="95" t="s">
        <v>699</v>
      </c>
      <c r="D331" s="95" t="s">
        <v>986</v>
      </c>
    </row>
    <row r="332" spans="1:4" x14ac:dyDescent="0.2">
      <c r="A332" s="94" t="s">
        <v>987</v>
      </c>
      <c r="B332" s="95" t="s">
        <v>984</v>
      </c>
      <c r="C332" s="95" t="s">
        <v>699</v>
      </c>
      <c r="D332" s="95" t="s">
        <v>988</v>
      </c>
    </row>
    <row r="333" spans="1:4" x14ac:dyDescent="0.2">
      <c r="A333" s="94" t="s">
        <v>989</v>
      </c>
      <c r="B333" s="95" t="s">
        <v>984</v>
      </c>
      <c r="C333" s="95" t="s">
        <v>699</v>
      </c>
      <c r="D333" s="95" t="s">
        <v>990</v>
      </c>
    </row>
    <row r="334" spans="1:4" x14ac:dyDescent="0.2">
      <c r="A334" s="94" t="s">
        <v>701</v>
      </c>
      <c r="B334" s="95" t="s">
        <v>984</v>
      </c>
      <c r="C334" s="95" t="s">
        <v>702</v>
      </c>
      <c r="D334" s="95" t="s">
        <v>702</v>
      </c>
    </row>
    <row r="335" spans="1:4" x14ac:dyDescent="0.2">
      <c r="A335" s="94" t="s">
        <v>703</v>
      </c>
      <c r="B335" s="95" t="s">
        <v>984</v>
      </c>
      <c r="C335" s="95" t="s">
        <v>704</v>
      </c>
      <c r="D335" s="95" t="s">
        <v>704</v>
      </c>
    </row>
    <row r="336" spans="1:4" x14ac:dyDescent="0.2">
      <c r="A336" s="94" t="s">
        <v>705</v>
      </c>
      <c r="B336" s="95" t="s">
        <v>984</v>
      </c>
      <c r="C336" s="95" t="s">
        <v>704</v>
      </c>
      <c r="D336" s="95" t="s">
        <v>991</v>
      </c>
    </row>
    <row r="337" spans="1:4" x14ac:dyDescent="0.2">
      <c r="A337" s="94" t="s">
        <v>706</v>
      </c>
      <c r="B337" s="95" t="s">
        <v>984</v>
      </c>
      <c r="C337" s="95" t="s">
        <v>704</v>
      </c>
      <c r="D337" s="95" t="s">
        <v>707</v>
      </c>
    </row>
    <row r="338" spans="1:4" x14ac:dyDescent="0.2">
      <c r="A338" s="94" t="s">
        <v>863</v>
      </c>
      <c r="B338" s="95" t="s">
        <v>984</v>
      </c>
      <c r="C338" s="95" t="s">
        <v>704</v>
      </c>
      <c r="D338" s="95" t="s">
        <v>992</v>
      </c>
    </row>
    <row r="339" spans="1:4" x14ac:dyDescent="0.2">
      <c r="A339" s="94" t="s">
        <v>993</v>
      </c>
      <c r="B339" s="95" t="s">
        <v>984</v>
      </c>
      <c r="C339" s="95" t="s">
        <v>704</v>
      </c>
      <c r="D339" s="101" t="s">
        <v>994</v>
      </c>
    </row>
    <row r="340" spans="1:4" x14ac:dyDescent="0.2">
      <c r="A340" s="94" t="s">
        <v>812</v>
      </c>
      <c r="B340" s="95" t="s">
        <v>813</v>
      </c>
      <c r="C340" s="95" t="s">
        <v>864</v>
      </c>
      <c r="D340" s="101" t="s">
        <v>864</v>
      </c>
    </row>
    <row r="341" spans="1:4" x14ac:dyDescent="0.2">
      <c r="A341" s="94" t="s">
        <v>817</v>
      </c>
      <c r="B341" s="95" t="s">
        <v>813</v>
      </c>
      <c r="C341" s="95" t="s">
        <v>864</v>
      </c>
      <c r="D341" s="101" t="s">
        <v>995</v>
      </c>
    </row>
    <row r="342" spans="1:4" x14ac:dyDescent="0.2">
      <c r="A342" s="94" t="s">
        <v>848</v>
      </c>
      <c r="B342" s="95" t="s">
        <v>813</v>
      </c>
      <c r="C342" s="95" t="s">
        <v>864</v>
      </c>
      <c r="D342" s="101" t="s">
        <v>849</v>
      </c>
    </row>
    <row r="343" spans="1:4" x14ac:dyDescent="0.2">
      <c r="A343" s="94" t="s">
        <v>818</v>
      </c>
      <c r="B343" s="95" t="s">
        <v>813</v>
      </c>
      <c r="C343" s="95" t="s">
        <v>819</v>
      </c>
      <c r="D343" s="101" t="s">
        <v>819</v>
      </c>
    </row>
    <row r="344" spans="1:4" x14ac:dyDescent="0.2">
      <c r="A344" s="94" t="s">
        <v>820</v>
      </c>
      <c r="B344" s="95" t="s">
        <v>813</v>
      </c>
      <c r="C344" s="95" t="s">
        <v>819</v>
      </c>
      <c r="D344" s="101" t="s">
        <v>996</v>
      </c>
    </row>
    <row r="345" spans="1:4" x14ac:dyDescent="0.2">
      <c r="A345" s="94" t="s">
        <v>854</v>
      </c>
      <c r="B345" s="95" t="s">
        <v>813</v>
      </c>
      <c r="C345" s="95" t="s">
        <v>819</v>
      </c>
      <c r="D345" s="101" t="s">
        <v>855</v>
      </c>
    </row>
    <row r="346" spans="1:4" x14ac:dyDescent="0.2">
      <c r="A346" s="94" t="s">
        <v>868</v>
      </c>
      <c r="B346" s="95" t="s">
        <v>869</v>
      </c>
      <c r="C346" s="95" t="s">
        <v>765</v>
      </c>
      <c r="D346" s="101" t="s">
        <v>765</v>
      </c>
    </row>
    <row r="347" spans="1:4" x14ac:dyDescent="0.2">
      <c r="A347" s="94" t="s">
        <v>870</v>
      </c>
      <c r="B347" s="95" t="s">
        <v>869</v>
      </c>
      <c r="C347" s="95" t="s">
        <v>766</v>
      </c>
      <c r="D347" s="101" t="s">
        <v>766</v>
      </c>
    </row>
    <row r="348" spans="1:4" x14ac:dyDescent="0.2">
      <c r="A348" s="94" t="s">
        <v>871</v>
      </c>
      <c r="B348" s="95" t="s">
        <v>869</v>
      </c>
      <c r="C348" s="95" t="s">
        <v>767</v>
      </c>
      <c r="D348" s="101" t="s">
        <v>767</v>
      </c>
    </row>
    <row r="349" spans="1:4" x14ac:dyDescent="0.2">
      <c r="A349" s="94" t="s">
        <v>872</v>
      </c>
      <c r="B349" s="95" t="s">
        <v>869</v>
      </c>
      <c r="C349" s="95" t="s">
        <v>768</v>
      </c>
      <c r="D349" s="101" t="s">
        <v>768</v>
      </c>
    </row>
    <row r="350" spans="1:4" x14ac:dyDescent="0.2">
      <c r="A350" s="94" t="s">
        <v>873</v>
      </c>
      <c r="B350" s="95" t="s">
        <v>869</v>
      </c>
      <c r="C350" s="95" t="s">
        <v>769</v>
      </c>
      <c r="D350" s="101" t="s">
        <v>769</v>
      </c>
    </row>
    <row r="351" spans="1:4" x14ac:dyDescent="0.2">
      <c r="A351" s="94" t="s">
        <v>874</v>
      </c>
      <c r="B351" s="95" t="s">
        <v>869</v>
      </c>
      <c r="C351" s="95" t="s">
        <v>875</v>
      </c>
      <c r="D351" s="101" t="s">
        <v>875</v>
      </c>
    </row>
    <row r="352" spans="1:4" x14ac:dyDescent="0.2">
      <c r="A352" s="94" t="s">
        <v>876</v>
      </c>
      <c r="B352" s="95" t="s">
        <v>869</v>
      </c>
      <c r="C352" s="95" t="s">
        <v>770</v>
      </c>
      <c r="D352" s="101" t="s">
        <v>770</v>
      </c>
    </row>
    <row r="353" spans="1:4" x14ac:dyDescent="0.2">
      <c r="A353" s="94" t="s">
        <v>877</v>
      </c>
      <c r="B353" s="95" t="s">
        <v>869</v>
      </c>
      <c r="C353" s="95" t="s">
        <v>771</v>
      </c>
      <c r="D353" s="101" t="s">
        <v>771</v>
      </c>
    </row>
    <row r="354" spans="1:4" x14ac:dyDescent="0.2">
      <c r="A354" s="94" t="s">
        <v>878</v>
      </c>
      <c r="B354" s="95" t="s">
        <v>869</v>
      </c>
      <c r="C354" s="95" t="s">
        <v>772</v>
      </c>
      <c r="D354" s="101" t="s">
        <v>772</v>
      </c>
    </row>
    <row r="355" spans="1:4" x14ac:dyDescent="0.2">
      <c r="A355" s="94" t="s">
        <v>879</v>
      </c>
      <c r="B355" s="95" t="s">
        <v>869</v>
      </c>
      <c r="C355" s="95" t="s">
        <v>773</v>
      </c>
      <c r="D355" s="101" t="s">
        <v>773</v>
      </c>
    </row>
    <row r="356" spans="1:4" x14ac:dyDescent="0.2">
      <c r="A356" s="94" t="s">
        <v>880</v>
      </c>
      <c r="B356" s="95" t="s">
        <v>869</v>
      </c>
      <c r="C356" s="95" t="s">
        <v>774</v>
      </c>
      <c r="D356" s="101" t="s">
        <v>774</v>
      </c>
    </row>
    <row r="357" spans="1:4" x14ac:dyDescent="0.2">
      <c r="A357" s="94" t="s">
        <v>881</v>
      </c>
      <c r="B357" s="95" t="s">
        <v>869</v>
      </c>
      <c r="C357" s="95" t="s">
        <v>775</v>
      </c>
      <c r="D357" s="101" t="s">
        <v>775</v>
      </c>
    </row>
    <row r="358" spans="1:4" x14ac:dyDescent="0.2">
      <c r="A358" s="94" t="s">
        <v>882</v>
      </c>
      <c r="B358" s="95" t="s">
        <v>869</v>
      </c>
      <c r="C358" s="95" t="s">
        <v>315</v>
      </c>
      <c r="D358" s="101" t="s">
        <v>315</v>
      </c>
    </row>
    <row r="359" spans="1:4" x14ac:dyDescent="0.2">
      <c r="A359" s="94" t="s">
        <v>883</v>
      </c>
      <c r="B359" s="95" t="s">
        <v>869</v>
      </c>
      <c r="C359" s="95" t="s">
        <v>776</v>
      </c>
      <c r="D359" s="101" t="s">
        <v>776</v>
      </c>
    </row>
    <row r="360" spans="1:4" x14ac:dyDescent="0.2">
      <c r="A360" s="94" t="s">
        <v>884</v>
      </c>
      <c r="B360" s="95" t="s">
        <v>869</v>
      </c>
      <c r="C360" s="95" t="s">
        <v>777</v>
      </c>
      <c r="D360" s="101" t="s">
        <v>777</v>
      </c>
    </row>
    <row r="361" spans="1:4" x14ac:dyDescent="0.2">
      <c r="A361" s="94" t="s">
        <v>885</v>
      </c>
      <c r="B361" s="95" t="s">
        <v>869</v>
      </c>
      <c r="C361" s="95" t="s">
        <v>686</v>
      </c>
      <c r="D361" s="101" t="s">
        <v>686</v>
      </c>
    </row>
    <row r="362" spans="1:4" x14ac:dyDescent="0.2">
      <c r="A362" s="94" t="s">
        <v>997</v>
      </c>
      <c r="B362" s="95" t="s">
        <v>998</v>
      </c>
      <c r="C362" s="95" t="s">
        <v>999</v>
      </c>
      <c r="D362" s="101" t="s">
        <v>1000</v>
      </c>
    </row>
    <row r="363" spans="1:4" x14ac:dyDescent="0.2">
      <c r="A363" s="94" t="s">
        <v>1001</v>
      </c>
      <c r="B363" s="95" t="s">
        <v>998</v>
      </c>
      <c r="C363" s="95" t="s">
        <v>999</v>
      </c>
      <c r="D363" s="101" t="s">
        <v>1002</v>
      </c>
    </row>
    <row r="364" spans="1:4" x14ac:dyDescent="0.2">
      <c r="A364" s="94" t="s">
        <v>1003</v>
      </c>
      <c r="B364" s="95" t="s">
        <v>998</v>
      </c>
      <c r="C364" s="95" t="s">
        <v>999</v>
      </c>
      <c r="D364" s="101" t="s">
        <v>1004</v>
      </c>
    </row>
    <row r="365" spans="1:4" x14ac:dyDescent="0.2">
      <c r="A365" s="94" t="s">
        <v>1005</v>
      </c>
      <c r="B365" s="95" t="s">
        <v>998</v>
      </c>
      <c r="C365" s="95" t="s">
        <v>999</v>
      </c>
      <c r="D365" s="101" t="s">
        <v>1006</v>
      </c>
    </row>
    <row r="366" spans="1:4" x14ac:dyDescent="0.2">
      <c r="A366" s="94" t="s">
        <v>1007</v>
      </c>
      <c r="B366" s="95" t="s">
        <v>998</v>
      </c>
      <c r="C366" s="95" t="s">
        <v>999</v>
      </c>
      <c r="D366" s="101" t="s">
        <v>1008</v>
      </c>
    </row>
    <row r="367" spans="1:4" x14ac:dyDescent="0.2">
      <c r="A367" s="94" t="s">
        <v>1009</v>
      </c>
      <c r="B367" s="95" t="s">
        <v>998</v>
      </c>
      <c r="C367" s="95" t="s">
        <v>999</v>
      </c>
      <c r="D367" s="101" t="s">
        <v>1010</v>
      </c>
    </row>
    <row r="368" spans="1:4" x14ac:dyDescent="0.2">
      <c r="A368" s="94" t="s">
        <v>1011</v>
      </c>
      <c r="B368" s="95" t="s">
        <v>998</v>
      </c>
      <c r="C368" s="95" t="s">
        <v>999</v>
      </c>
      <c r="D368" s="101" t="s">
        <v>1012</v>
      </c>
    </row>
    <row r="369" spans="1:4" x14ac:dyDescent="0.2">
      <c r="A369" s="94" t="s">
        <v>1013</v>
      </c>
      <c r="B369" s="95" t="s">
        <v>998</v>
      </c>
      <c r="C369" s="95" t="s">
        <v>999</v>
      </c>
      <c r="D369" s="101" t="s">
        <v>1014</v>
      </c>
    </row>
    <row r="370" spans="1:4" x14ac:dyDescent="0.2">
      <c r="A370" s="94" t="s">
        <v>1015</v>
      </c>
      <c r="B370" s="95" t="s">
        <v>998</v>
      </c>
      <c r="C370" s="95" t="s">
        <v>999</v>
      </c>
      <c r="D370" s="101" t="s">
        <v>1016</v>
      </c>
    </row>
    <row r="371" spans="1:4" x14ac:dyDescent="0.2">
      <c r="A371" s="94" t="s">
        <v>1017</v>
      </c>
      <c r="B371" s="95" t="s">
        <v>998</v>
      </c>
      <c r="C371" s="95" t="s">
        <v>999</v>
      </c>
      <c r="D371" s="101" t="s">
        <v>1018</v>
      </c>
    </row>
    <row r="372" spans="1:4" x14ac:dyDescent="0.2">
      <c r="A372" s="94" t="s">
        <v>1019</v>
      </c>
      <c r="B372" s="95" t="s">
        <v>998</v>
      </c>
      <c r="C372" s="95" t="s">
        <v>999</v>
      </c>
      <c r="D372" s="101" t="s">
        <v>1020</v>
      </c>
    </row>
    <row r="373" spans="1:4" x14ac:dyDescent="0.2">
      <c r="A373" s="94" t="s">
        <v>1021</v>
      </c>
      <c r="B373" s="95" t="s">
        <v>998</v>
      </c>
      <c r="C373" s="95" t="s">
        <v>999</v>
      </c>
      <c r="D373" s="101" t="s">
        <v>1022</v>
      </c>
    </row>
  </sheetData>
  <sheetProtection algorithmName="SHA-512" hashValue="Hf5YsxWiauhitLNqQP6YJ/eznoNFyRywjHEpFWC6T4NuQmF9vCNcpt7QbV90CsoKRKXeH+3hl9U5S+q7mi66eg==" saltValue="pMt/cpspgNpjEdiJY37ZLQ==" spinCount="100000" sheet="1" objects="1" scenarios="1"/>
  <pageMargins left="0.35433070866141736" right="0.23622047244094491" top="0.31496062992125984" bottom="0.19685039370078741" header="0.31496062992125984" footer="0.19685039370078741"/>
  <pageSetup scale="7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E219"/>
  <sheetViews>
    <sheetView showGridLines="0" topLeftCell="A107" zoomScale="85" zoomScaleNormal="85" workbookViewId="0">
      <selection activeCell="D136" sqref="D136"/>
    </sheetView>
  </sheetViews>
  <sheetFormatPr baseColWidth="10" defaultColWidth="9.140625" defaultRowHeight="15" x14ac:dyDescent="0.25"/>
  <cols>
    <col min="1" max="1" width="87.7109375" customWidth="1"/>
    <col min="2" max="2" width="28.7109375" customWidth="1"/>
    <col min="3" max="3" width="12.85546875" bestFit="1" customWidth="1"/>
    <col min="4" max="4" width="15.42578125" bestFit="1" customWidth="1"/>
    <col min="5" max="5" width="9.140625" style="1"/>
  </cols>
  <sheetData>
    <row r="1" spans="1:5" ht="15.75" thickBot="1" x14ac:dyDescent="0.3">
      <c r="A1" s="21" t="s">
        <v>538</v>
      </c>
      <c r="B1" s="22"/>
    </row>
    <row r="2" spans="1:5" ht="15.75" thickBot="1" x14ac:dyDescent="0.3">
      <c r="A2" s="21" t="s">
        <v>539</v>
      </c>
      <c r="B2" s="22"/>
    </row>
    <row r="3" spans="1:5" ht="15.75" thickBot="1" x14ac:dyDescent="0.3">
      <c r="A3" s="23" t="s">
        <v>257</v>
      </c>
      <c r="B3" s="24" t="s">
        <v>258</v>
      </c>
      <c r="D3">
        <v>42</v>
      </c>
      <c r="E3" s="1">
        <v>42</v>
      </c>
    </row>
    <row r="4" spans="1:5" ht="15.75" thickBot="1" x14ac:dyDescent="0.3">
      <c r="A4" s="25" t="s">
        <v>540</v>
      </c>
      <c r="B4" s="26">
        <v>10</v>
      </c>
      <c r="D4">
        <f>D3+7</f>
        <v>49</v>
      </c>
      <c r="E4" s="1">
        <v>35</v>
      </c>
    </row>
    <row r="5" spans="1:5" ht="15.75" thickBot="1" x14ac:dyDescent="0.3">
      <c r="A5" s="27" t="s">
        <v>541</v>
      </c>
      <c r="B5" s="26">
        <v>11</v>
      </c>
      <c r="D5">
        <f t="shared" ref="D5:D16" si="0">D4+7</f>
        <v>56</v>
      </c>
      <c r="E5" s="1">
        <v>28</v>
      </c>
    </row>
    <row r="6" spans="1:5" ht="15.75" thickBot="1" x14ac:dyDescent="0.3">
      <c r="A6" s="27" t="s">
        <v>542</v>
      </c>
      <c r="B6" s="26">
        <v>12</v>
      </c>
      <c r="D6">
        <f t="shared" si="0"/>
        <v>63</v>
      </c>
      <c r="E6" s="1">
        <v>21</v>
      </c>
    </row>
    <row r="7" spans="1:5" ht="15.75" thickBot="1" x14ac:dyDescent="0.3">
      <c r="A7" s="66" t="s">
        <v>683</v>
      </c>
      <c r="B7" s="26">
        <v>13</v>
      </c>
      <c r="D7">
        <f t="shared" si="0"/>
        <v>70</v>
      </c>
      <c r="E7" s="1">
        <v>14</v>
      </c>
    </row>
    <row r="8" spans="1:5" ht="15.75" thickBot="1" x14ac:dyDescent="0.3">
      <c r="A8" s="67" t="s">
        <v>684</v>
      </c>
      <c r="B8" s="26">
        <v>14</v>
      </c>
      <c r="D8">
        <f>D7+7</f>
        <v>77</v>
      </c>
      <c r="E8" s="1">
        <v>7</v>
      </c>
    </row>
    <row r="9" spans="1:5" ht="15.75" thickBot="1" x14ac:dyDescent="0.3">
      <c r="A9" s="67" t="s">
        <v>762</v>
      </c>
      <c r="B9" s="26">
        <v>15</v>
      </c>
    </row>
    <row r="10" spans="1:5" ht="15.75" thickBot="1" x14ac:dyDescent="0.3">
      <c r="A10" s="28" t="s">
        <v>543</v>
      </c>
      <c r="B10" s="26">
        <v>20</v>
      </c>
      <c r="D10">
        <f>D8+7</f>
        <v>84</v>
      </c>
    </row>
    <row r="11" spans="1:5" ht="15.75" thickBot="1" x14ac:dyDescent="0.3">
      <c r="A11" s="29" t="s">
        <v>544</v>
      </c>
      <c r="B11" s="26">
        <v>30</v>
      </c>
      <c r="D11">
        <f t="shared" si="0"/>
        <v>91</v>
      </c>
    </row>
    <row r="12" spans="1:5" ht="15.75" thickBot="1" x14ac:dyDescent="0.3">
      <c r="A12" s="25" t="s">
        <v>545</v>
      </c>
      <c r="B12" s="26">
        <v>40</v>
      </c>
      <c r="D12">
        <f t="shared" si="0"/>
        <v>98</v>
      </c>
    </row>
    <row r="13" spans="1:5" ht="15.75" thickBot="1" x14ac:dyDescent="0.3">
      <c r="A13" s="30" t="s">
        <v>546</v>
      </c>
      <c r="B13" s="26">
        <v>50</v>
      </c>
      <c r="D13">
        <f t="shared" si="0"/>
        <v>105</v>
      </c>
    </row>
    <row r="14" spans="1:5" ht="15.75" thickBot="1" x14ac:dyDescent="0.3">
      <c r="A14" s="25" t="s">
        <v>547</v>
      </c>
      <c r="B14" s="26">
        <v>60</v>
      </c>
      <c r="D14">
        <f t="shared" si="0"/>
        <v>112</v>
      </c>
    </row>
    <row r="15" spans="1:5" ht="15.75" thickBot="1" x14ac:dyDescent="0.3">
      <c r="A15" s="31" t="s">
        <v>548</v>
      </c>
      <c r="B15" s="26">
        <v>61</v>
      </c>
      <c r="D15">
        <f>D14+7</f>
        <v>119</v>
      </c>
    </row>
    <row r="16" spans="1:5" ht="15.75" thickBot="1" x14ac:dyDescent="0.3">
      <c r="A16" s="25" t="s">
        <v>549</v>
      </c>
      <c r="B16" s="26">
        <v>70</v>
      </c>
      <c r="D16">
        <f t="shared" si="0"/>
        <v>126</v>
      </c>
    </row>
    <row r="17" spans="1:2" ht="15.75" thickBot="1" x14ac:dyDescent="0.3">
      <c r="A17" s="32" t="s">
        <v>550</v>
      </c>
      <c r="B17" s="26">
        <v>80</v>
      </c>
    </row>
    <row r="18" spans="1:2" ht="15.75" thickBot="1" x14ac:dyDescent="0.3">
      <c r="A18" s="33" t="s">
        <v>551</v>
      </c>
      <c r="B18" s="26">
        <v>90</v>
      </c>
    </row>
    <row r="19" spans="1:2" ht="15.75" thickBot="1" x14ac:dyDescent="0.3">
      <c r="A19" s="34"/>
      <c r="B19" s="35"/>
    </row>
    <row r="20" spans="1:2" ht="15.75" thickBot="1" x14ac:dyDescent="0.3">
      <c r="A20" s="36" t="s">
        <v>552</v>
      </c>
      <c r="B20" s="37"/>
    </row>
    <row r="21" spans="1:2" ht="15.75" thickBot="1" x14ac:dyDescent="0.3">
      <c r="A21" s="21" t="s">
        <v>553</v>
      </c>
      <c r="B21" s="22"/>
    </row>
    <row r="22" spans="1:2" ht="15.75" thickBot="1" x14ac:dyDescent="0.3">
      <c r="A22" s="38" t="s">
        <v>257</v>
      </c>
      <c r="B22" s="39" t="s">
        <v>258</v>
      </c>
    </row>
    <row r="23" spans="1:2" ht="15.75" thickBot="1" x14ac:dyDescent="0.3">
      <c r="A23" s="21" t="s">
        <v>554</v>
      </c>
      <c r="B23" s="40" t="s">
        <v>555</v>
      </c>
    </row>
    <row r="24" spans="1:2" ht="15.75" thickBot="1" x14ac:dyDescent="0.3">
      <c r="A24" s="41" t="s">
        <v>556</v>
      </c>
      <c r="B24" s="42" t="s">
        <v>557</v>
      </c>
    </row>
    <row r="25" spans="1:2" ht="15.75" thickBot="1" x14ac:dyDescent="0.3">
      <c r="A25" s="41" t="s">
        <v>558</v>
      </c>
      <c r="B25" s="42" t="s">
        <v>559</v>
      </c>
    </row>
    <row r="26" spans="1:2" ht="15.75" thickBot="1" x14ac:dyDescent="0.3">
      <c r="A26" s="41" t="s">
        <v>560</v>
      </c>
      <c r="B26" s="42" t="s">
        <v>561</v>
      </c>
    </row>
    <row r="27" spans="1:2" ht="15.75" thickBot="1" x14ac:dyDescent="0.3">
      <c r="A27" s="41" t="s">
        <v>562</v>
      </c>
      <c r="B27" s="56" t="s">
        <v>563</v>
      </c>
    </row>
    <row r="28" spans="1:2" ht="15.75" thickBot="1" x14ac:dyDescent="0.3">
      <c r="A28" s="41" t="s">
        <v>564</v>
      </c>
      <c r="B28" s="42" t="s">
        <v>565</v>
      </c>
    </row>
    <row r="29" spans="1:2" ht="26.25" thickBot="1" x14ac:dyDescent="0.3">
      <c r="A29" s="93" t="s">
        <v>833</v>
      </c>
      <c r="B29" s="56" t="s">
        <v>756</v>
      </c>
    </row>
    <row r="30" spans="1:2" ht="26.25" thickBot="1" x14ac:dyDescent="0.3">
      <c r="A30" s="93" t="s">
        <v>834</v>
      </c>
      <c r="B30" s="56" t="s">
        <v>758</v>
      </c>
    </row>
    <row r="31" spans="1:2" ht="26.25" thickBot="1" x14ac:dyDescent="0.3">
      <c r="A31" s="93" t="s">
        <v>835</v>
      </c>
      <c r="B31" s="56" t="s">
        <v>836</v>
      </c>
    </row>
    <row r="32" spans="1:2" ht="26.25" thickBot="1" x14ac:dyDescent="0.3">
      <c r="A32" s="93" t="s">
        <v>837</v>
      </c>
      <c r="B32" s="56" t="s">
        <v>838</v>
      </c>
    </row>
    <row r="33" spans="1:2" ht="15.75" thickBot="1" x14ac:dyDescent="0.3">
      <c r="A33" s="41" t="s">
        <v>566</v>
      </c>
      <c r="B33" s="42" t="s">
        <v>567</v>
      </c>
    </row>
    <row r="34" spans="1:2" ht="15.75" thickBot="1" x14ac:dyDescent="0.3">
      <c r="A34" s="41" t="s">
        <v>568</v>
      </c>
      <c r="B34" s="42" t="s">
        <v>569</v>
      </c>
    </row>
    <row r="35" spans="1:2" ht="15.75" thickBot="1" x14ac:dyDescent="0.3">
      <c r="A35" s="21" t="s">
        <v>570</v>
      </c>
      <c r="B35" s="43" t="s">
        <v>571</v>
      </c>
    </row>
    <row r="36" spans="1:2" ht="15.75" thickBot="1" x14ac:dyDescent="0.3">
      <c r="A36" s="41" t="s">
        <v>572</v>
      </c>
      <c r="B36" s="42" t="s">
        <v>573</v>
      </c>
    </row>
    <row r="37" spans="1:2" ht="15.75" thickBot="1" x14ac:dyDescent="0.3">
      <c r="A37" s="21" t="s">
        <v>548</v>
      </c>
      <c r="B37" s="44">
        <v>61</v>
      </c>
    </row>
    <row r="38" spans="1:2" ht="15.75" thickBot="1" x14ac:dyDescent="0.3">
      <c r="A38" s="41" t="s">
        <v>574</v>
      </c>
      <c r="B38" s="42" t="s">
        <v>559</v>
      </c>
    </row>
    <row r="39" spans="1:2" ht="15.75" thickBot="1" x14ac:dyDescent="0.3">
      <c r="A39" s="41" t="s">
        <v>575</v>
      </c>
      <c r="B39" s="42" t="s">
        <v>561</v>
      </c>
    </row>
    <row r="40" spans="1:2" ht="15.75" thickBot="1" x14ac:dyDescent="0.3">
      <c r="A40" s="41" t="s">
        <v>576</v>
      </c>
      <c r="B40" s="42" t="s">
        <v>563</v>
      </c>
    </row>
    <row r="41" spans="1:2" ht="15.75" thickBot="1" x14ac:dyDescent="0.3">
      <c r="A41" s="41" t="s">
        <v>577</v>
      </c>
      <c r="B41" s="42" t="s">
        <v>565</v>
      </c>
    </row>
    <row r="42" spans="1:2" ht="15.75" thickBot="1" x14ac:dyDescent="0.3">
      <c r="A42" s="41" t="s">
        <v>578</v>
      </c>
      <c r="B42" s="42" t="s">
        <v>567</v>
      </c>
    </row>
    <row r="43" spans="1:2" ht="15.75" thickBot="1" x14ac:dyDescent="0.3">
      <c r="A43" s="41" t="s">
        <v>579</v>
      </c>
      <c r="B43" s="42" t="s">
        <v>569</v>
      </c>
    </row>
    <row r="44" spans="1:2" ht="15.75" thickBot="1" x14ac:dyDescent="0.3">
      <c r="A44" s="41" t="s">
        <v>580</v>
      </c>
      <c r="B44" s="42" t="s">
        <v>573</v>
      </c>
    </row>
    <row r="45" spans="1:2" ht="15.75" thickBot="1" x14ac:dyDescent="0.3">
      <c r="A45" s="21" t="s">
        <v>581</v>
      </c>
      <c r="B45" s="45">
        <v>20</v>
      </c>
    </row>
    <row r="46" spans="1:2" ht="15.75" thickBot="1" x14ac:dyDescent="0.3">
      <c r="A46" s="41" t="s">
        <v>558</v>
      </c>
      <c r="B46" s="42" t="s">
        <v>559</v>
      </c>
    </row>
    <row r="47" spans="1:2" ht="15.75" thickBot="1" x14ac:dyDescent="0.3">
      <c r="A47" s="41" t="s">
        <v>560</v>
      </c>
      <c r="B47" s="42" t="s">
        <v>561</v>
      </c>
    </row>
    <row r="48" spans="1:2" ht="15.75" thickBot="1" x14ac:dyDescent="0.3">
      <c r="A48" s="41" t="s">
        <v>562</v>
      </c>
      <c r="B48" s="42" t="s">
        <v>563</v>
      </c>
    </row>
    <row r="49" spans="1:2" ht="15.75" thickBot="1" x14ac:dyDescent="0.3">
      <c r="A49" s="41" t="s">
        <v>582</v>
      </c>
      <c r="B49" s="42" t="s">
        <v>583</v>
      </c>
    </row>
    <row r="50" spans="1:2" ht="15.75" thickBot="1" x14ac:dyDescent="0.3">
      <c r="A50" s="41" t="s">
        <v>564</v>
      </c>
      <c r="B50" s="42" t="s">
        <v>565</v>
      </c>
    </row>
    <row r="51" spans="1:2" ht="15.75" thickBot="1" x14ac:dyDescent="0.3">
      <c r="A51" s="41" t="s">
        <v>584</v>
      </c>
      <c r="B51" s="42" t="s">
        <v>585</v>
      </c>
    </row>
    <row r="52" spans="1:2" ht="15.75" thickBot="1" x14ac:dyDescent="0.3">
      <c r="A52" s="41" t="s">
        <v>566</v>
      </c>
      <c r="B52" s="42" t="s">
        <v>567</v>
      </c>
    </row>
    <row r="53" spans="1:2" ht="15.75" thickBot="1" x14ac:dyDescent="0.3">
      <c r="A53" s="41" t="s">
        <v>568</v>
      </c>
      <c r="B53" s="42" t="s">
        <v>569</v>
      </c>
    </row>
    <row r="54" spans="1:2" ht="15.75" thickBot="1" x14ac:dyDescent="0.3">
      <c r="A54" s="21" t="s">
        <v>293</v>
      </c>
      <c r="B54" s="46">
        <v>30</v>
      </c>
    </row>
    <row r="55" spans="1:2" ht="15.75" thickBot="1" x14ac:dyDescent="0.3">
      <c r="A55" s="41" t="s">
        <v>586</v>
      </c>
      <c r="B55" s="42" t="s">
        <v>587</v>
      </c>
    </row>
    <row r="56" spans="1:2" ht="15.75" thickBot="1" x14ac:dyDescent="0.3">
      <c r="A56" s="41" t="s">
        <v>588</v>
      </c>
      <c r="B56" s="42" t="s">
        <v>589</v>
      </c>
    </row>
    <row r="57" spans="1:2" ht="15.75" thickBot="1" x14ac:dyDescent="0.3">
      <c r="A57" s="41" t="s">
        <v>590</v>
      </c>
      <c r="B57" s="42" t="s">
        <v>591</v>
      </c>
    </row>
    <row r="58" spans="1:2" ht="15.75" thickBot="1" x14ac:dyDescent="0.3">
      <c r="A58" s="21" t="s">
        <v>476</v>
      </c>
      <c r="B58" s="47">
        <v>50</v>
      </c>
    </row>
    <row r="59" spans="1:2" ht="15.75" thickBot="1" x14ac:dyDescent="0.3">
      <c r="A59" s="48" t="s">
        <v>558</v>
      </c>
      <c r="B59" s="49" t="s">
        <v>559</v>
      </c>
    </row>
    <row r="60" spans="1:2" ht="15.75" thickBot="1" x14ac:dyDescent="0.3">
      <c r="A60" s="48" t="s">
        <v>560</v>
      </c>
      <c r="B60" s="49" t="s">
        <v>561</v>
      </c>
    </row>
    <row r="61" spans="1:2" ht="15.75" thickBot="1" x14ac:dyDescent="0.3">
      <c r="A61" s="48" t="s">
        <v>592</v>
      </c>
      <c r="B61" s="49" t="s">
        <v>593</v>
      </c>
    </row>
    <row r="62" spans="1:2" ht="15.75" thickBot="1" x14ac:dyDescent="0.3">
      <c r="A62" s="48" t="s">
        <v>562</v>
      </c>
      <c r="B62" s="49" t="s">
        <v>563</v>
      </c>
    </row>
    <row r="63" spans="1:2" ht="15.75" thickBot="1" x14ac:dyDescent="0.3">
      <c r="A63" s="48" t="s">
        <v>564</v>
      </c>
      <c r="B63" s="49" t="s">
        <v>565</v>
      </c>
    </row>
    <row r="64" spans="1:2" ht="15.75" thickBot="1" x14ac:dyDescent="0.3">
      <c r="A64" s="48" t="s">
        <v>566</v>
      </c>
      <c r="B64" s="49" t="s">
        <v>567</v>
      </c>
    </row>
    <row r="65" spans="1:2" ht="15.75" thickBot="1" x14ac:dyDescent="0.3">
      <c r="A65" s="48" t="s">
        <v>568</v>
      </c>
      <c r="B65" s="49" t="s">
        <v>569</v>
      </c>
    </row>
    <row r="66" spans="1:2" ht="15.75" thickBot="1" x14ac:dyDescent="0.3">
      <c r="A66" s="21" t="s">
        <v>476</v>
      </c>
      <c r="B66" s="50">
        <v>80</v>
      </c>
    </row>
    <row r="67" spans="1:2" ht="15.75" thickBot="1" x14ac:dyDescent="0.3">
      <c r="A67" s="48" t="s">
        <v>556</v>
      </c>
      <c r="B67" s="42" t="s">
        <v>557</v>
      </c>
    </row>
    <row r="68" spans="1:2" ht="15.75" thickBot="1" x14ac:dyDescent="0.3">
      <c r="A68" s="48" t="s">
        <v>558</v>
      </c>
      <c r="B68" s="42" t="s">
        <v>559</v>
      </c>
    </row>
    <row r="69" spans="1:2" ht="15.75" thickBot="1" x14ac:dyDescent="0.3">
      <c r="A69" s="48" t="s">
        <v>560</v>
      </c>
      <c r="B69" s="42" t="s">
        <v>561</v>
      </c>
    </row>
    <row r="70" spans="1:2" ht="15.75" thickBot="1" x14ac:dyDescent="0.3">
      <c r="A70" s="48" t="s">
        <v>562</v>
      </c>
      <c r="B70" s="42" t="s">
        <v>563</v>
      </c>
    </row>
    <row r="71" spans="1:2" ht="15.75" thickBot="1" x14ac:dyDescent="0.3">
      <c r="A71" s="48" t="s">
        <v>564</v>
      </c>
      <c r="B71" s="42" t="s">
        <v>565</v>
      </c>
    </row>
    <row r="72" spans="1:2" ht="15.75" thickBot="1" x14ac:dyDescent="0.3">
      <c r="A72" s="48" t="s">
        <v>566</v>
      </c>
      <c r="B72" s="42" t="s">
        <v>567</v>
      </c>
    </row>
    <row r="73" spans="1:2" ht="15.75" thickBot="1" x14ac:dyDescent="0.3">
      <c r="A73" s="48" t="s">
        <v>568</v>
      </c>
      <c r="B73" s="42" t="s">
        <v>569</v>
      </c>
    </row>
    <row r="74" spans="1:2" ht="15.75" thickBot="1" x14ac:dyDescent="0.3">
      <c r="A74" s="48" t="s">
        <v>582</v>
      </c>
      <c r="B74" s="49" t="s">
        <v>583</v>
      </c>
    </row>
    <row r="75" spans="1:2" ht="15.75" thickBot="1" x14ac:dyDescent="0.3">
      <c r="A75" s="48" t="s">
        <v>584</v>
      </c>
      <c r="B75" s="49" t="s">
        <v>585</v>
      </c>
    </row>
    <row r="76" spans="1:2" ht="15.75" thickBot="1" x14ac:dyDescent="0.3">
      <c r="A76" s="48" t="s">
        <v>586</v>
      </c>
      <c r="B76" s="49" t="s">
        <v>587</v>
      </c>
    </row>
    <row r="77" spans="1:2" ht="15.75" thickBot="1" x14ac:dyDescent="0.3">
      <c r="A77" s="48" t="s">
        <v>588</v>
      </c>
      <c r="B77" s="49" t="s">
        <v>589</v>
      </c>
    </row>
    <row r="78" spans="1:2" ht="15.75" thickBot="1" x14ac:dyDescent="0.3">
      <c r="A78" s="48" t="s">
        <v>590</v>
      </c>
      <c r="B78" s="49" t="s">
        <v>591</v>
      </c>
    </row>
    <row r="79" spans="1:2" ht="15.75" thickBot="1" x14ac:dyDescent="0.3">
      <c r="A79" s="48" t="s">
        <v>592</v>
      </c>
      <c r="B79" s="49" t="s">
        <v>593</v>
      </c>
    </row>
    <row r="80" spans="1:2" ht="15.75" thickBot="1" x14ac:dyDescent="0.3">
      <c r="A80" s="250" t="s">
        <v>594</v>
      </c>
      <c r="B80" s="251"/>
    </row>
    <row r="81" spans="1:2" ht="15.75" thickBot="1" x14ac:dyDescent="0.3">
      <c r="A81" s="20" t="s">
        <v>595</v>
      </c>
      <c r="B81" s="51" t="s">
        <v>561</v>
      </c>
    </row>
    <row r="82" spans="1:2" ht="15.75" thickBot="1" x14ac:dyDescent="0.3">
      <c r="A82" s="20" t="s">
        <v>596</v>
      </c>
      <c r="B82" s="51" t="s">
        <v>563</v>
      </c>
    </row>
    <row r="83" spans="1:2" ht="15.75" thickBot="1" x14ac:dyDescent="0.3">
      <c r="A83" s="20" t="s">
        <v>597</v>
      </c>
      <c r="B83" s="51" t="s">
        <v>583</v>
      </c>
    </row>
    <row r="84" spans="1:2" ht="15.75" thickBot="1" x14ac:dyDescent="0.3">
      <c r="A84" s="20" t="s">
        <v>598</v>
      </c>
      <c r="B84" s="51" t="s">
        <v>565</v>
      </c>
    </row>
    <row r="85" spans="1:2" ht="15.75" thickBot="1" x14ac:dyDescent="0.3">
      <c r="A85" s="20" t="s">
        <v>599</v>
      </c>
      <c r="B85" s="51" t="s">
        <v>585</v>
      </c>
    </row>
    <row r="86" spans="1:2" ht="15.75" thickBot="1" x14ac:dyDescent="0.3">
      <c r="A86" s="20" t="s">
        <v>600</v>
      </c>
      <c r="B86" s="51" t="s">
        <v>567</v>
      </c>
    </row>
    <row r="87" spans="1:2" ht="15.75" thickBot="1" x14ac:dyDescent="0.3">
      <c r="A87" s="20" t="s">
        <v>601</v>
      </c>
      <c r="B87" s="51" t="s">
        <v>569</v>
      </c>
    </row>
    <row r="88" spans="1:2" ht="15.75" thickBot="1" x14ac:dyDescent="0.3">
      <c r="A88" s="20" t="s">
        <v>602</v>
      </c>
      <c r="B88" s="51" t="s">
        <v>573</v>
      </c>
    </row>
    <row r="89" spans="1:2" ht="15.75" thickBot="1" x14ac:dyDescent="0.3">
      <c r="A89" s="89" t="s">
        <v>761</v>
      </c>
      <c r="B89" s="90">
        <v>13</v>
      </c>
    </row>
    <row r="90" spans="1:2" ht="15.75" thickBot="1" x14ac:dyDescent="0.3">
      <c r="A90" s="20" t="s">
        <v>560</v>
      </c>
      <c r="B90" s="51" t="s">
        <v>561</v>
      </c>
    </row>
    <row r="91" spans="1:2" ht="15.75" thickBot="1" x14ac:dyDescent="0.3">
      <c r="A91" s="20" t="s">
        <v>562</v>
      </c>
      <c r="B91" s="51" t="s">
        <v>563</v>
      </c>
    </row>
    <row r="92" spans="1:2" ht="15.75" thickBot="1" x14ac:dyDescent="0.3">
      <c r="A92" s="20" t="s">
        <v>752</v>
      </c>
      <c r="B92" s="51" t="s">
        <v>753</v>
      </c>
    </row>
    <row r="93" spans="1:2" ht="15.75" thickBot="1" x14ac:dyDescent="0.3">
      <c r="A93" s="89" t="s">
        <v>760</v>
      </c>
      <c r="B93" s="90">
        <v>14</v>
      </c>
    </row>
    <row r="94" spans="1:2" ht="15.75" thickBot="1" x14ac:dyDescent="0.3">
      <c r="A94" s="20" t="s">
        <v>562</v>
      </c>
      <c r="B94" s="51" t="s">
        <v>563</v>
      </c>
    </row>
    <row r="95" spans="1:2" ht="15.75" thickBot="1" x14ac:dyDescent="0.3">
      <c r="A95" s="20" t="s">
        <v>754</v>
      </c>
      <c r="B95" s="51" t="s">
        <v>565</v>
      </c>
    </row>
    <row r="96" spans="1:2" ht="15.75" thickBot="1" x14ac:dyDescent="0.3">
      <c r="A96" s="20" t="s">
        <v>566</v>
      </c>
      <c r="B96" s="51" t="s">
        <v>567</v>
      </c>
    </row>
    <row r="97" spans="1:2" ht="15.75" thickBot="1" x14ac:dyDescent="0.3">
      <c r="A97" s="20" t="s">
        <v>568</v>
      </c>
      <c r="B97" s="51" t="s">
        <v>569</v>
      </c>
    </row>
    <row r="98" spans="1:2" ht="15.75" thickBot="1" x14ac:dyDescent="0.3">
      <c r="A98" s="89" t="s">
        <v>759</v>
      </c>
      <c r="B98" s="90">
        <v>15</v>
      </c>
    </row>
    <row r="99" spans="1:2" ht="15.75" thickBot="1" x14ac:dyDescent="0.3">
      <c r="A99" s="20" t="s">
        <v>560</v>
      </c>
      <c r="B99" s="51" t="s">
        <v>561</v>
      </c>
    </row>
    <row r="100" spans="1:2" ht="15.75" thickBot="1" x14ac:dyDescent="0.3">
      <c r="A100" s="20" t="s">
        <v>562</v>
      </c>
      <c r="B100" s="51" t="s">
        <v>563</v>
      </c>
    </row>
    <row r="101" spans="1:2" ht="15.75" thickBot="1" x14ac:dyDescent="0.3">
      <c r="A101" s="20" t="s">
        <v>755</v>
      </c>
      <c r="B101" s="51" t="s">
        <v>756</v>
      </c>
    </row>
    <row r="102" spans="1:2" ht="15.75" thickBot="1" x14ac:dyDescent="0.3">
      <c r="A102" s="20" t="s">
        <v>754</v>
      </c>
      <c r="B102" s="51" t="s">
        <v>565</v>
      </c>
    </row>
    <row r="103" spans="1:2" ht="15.75" thickBot="1" x14ac:dyDescent="0.3">
      <c r="A103" s="20" t="s">
        <v>757</v>
      </c>
      <c r="B103" s="51" t="s">
        <v>758</v>
      </c>
    </row>
    <row r="104" spans="1:2" ht="15.75" thickBot="1" x14ac:dyDescent="0.3">
      <c r="A104" s="20" t="s">
        <v>566</v>
      </c>
      <c r="B104" s="51" t="s">
        <v>567</v>
      </c>
    </row>
    <row r="105" spans="1:2" ht="15.75" thickBot="1" x14ac:dyDescent="0.3">
      <c r="A105" s="20" t="s">
        <v>568</v>
      </c>
      <c r="B105" s="51" t="s">
        <v>569</v>
      </c>
    </row>
    <row r="106" spans="1:2" x14ac:dyDescent="0.25">
      <c r="A106" s="87"/>
      <c r="B106" s="88"/>
    </row>
    <row r="107" spans="1:2" x14ac:dyDescent="0.25">
      <c r="A107" s="87"/>
      <c r="B107" s="88"/>
    </row>
    <row r="108" spans="1:2" x14ac:dyDescent="0.25">
      <c r="A108" s="87"/>
      <c r="B108" s="88"/>
    </row>
    <row r="109" spans="1:2" x14ac:dyDescent="0.25">
      <c r="A109" s="87"/>
      <c r="B109" s="88"/>
    </row>
    <row r="110" spans="1:2" x14ac:dyDescent="0.25">
      <c r="A110" s="87"/>
      <c r="B110" s="88"/>
    </row>
    <row r="111" spans="1:2" x14ac:dyDescent="0.25">
      <c r="A111" s="87"/>
      <c r="B111" s="88"/>
    </row>
    <row r="112" spans="1:2" x14ac:dyDescent="0.25">
      <c r="A112" s="35"/>
      <c r="B112" s="35"/>
    </row>
    <row r="113" spans="1:5" ht="15.75" thickBot="1" x14ac:dyDescent="0.3">
      <c r="A113" s="3" t="s">
        <v>255</v>
      </c>
    </row>
    <row r="114" spans="1:5" ht="15.75" thickBot="1" x14ac:dyDescent="0.3">
      <c r="A114" s="248" t="s">
        <v>285</v>
      </c>
      <c r="B114" s="249"/>
      <c r="C114" s="12" t="s">
        <v>283</v>
      </c>
      <c r="D114" s="12"/>
    </row>
    <row r="115" spans="1:5" ht="15.75" thickBot="1" x14ac:dyDescent="0.3">
      <c r="A115" s="248" t="s">
        <v>280</v>
      </c>
      <c r="B115" s="249"/>
      <c r="C115" s="1" t="s">
        <v>47</v>
      </c>
      <c r="D115" s="1" t="s">
        <v>284</v>
      </c>
      <c r="E115" s="1" t="s">
        <v>4</v>
      </c>
    </row>
    <row r="116" spans="1:5" ht="15.75" thickBot="1" x14ac:dyDescent="0.3">
      <c r="A116" s="4" t="s">
        <v>257</v>
      </c>
      <c r="B116" s="5" t="s">
        <v>258</v>
      </c>
      <c r="C116" s="2">
        <v>45627</v>
      </c>
      <c r="D116" s="2">
        <v>45657</v>
      </c>
      <c r="E116" s="91">
        <v>13</v>
      </c>
    </row>
    <row r="117" spans="1:5" ht="15.75" thickBot="1" x14ac:dyDescent="0.3">
      <c r="A117" s="6" t="s">
        <v>281</v>
      </c>
      <c r="B117" s="10" t="s">
        <v>19</v>
      </c>
      <c r="C117" s="2">
        <v>45292</v>
      </c>
      <c r="D117" s="2">
        <v>45626</v>
      </c>
      <c r="E117" s="91">
        <v>14</v>
      </c>
    </row>
    <row r="118" spans="1:5" ht="15.75" thickBot="1" x14ac:dyDescent="0.3">
      <c r="A118" s="6" t="s">
        <v>32</v>
      </c>
      <c r="B118" s="10" t="s">
        <v>11</v>
      </c>
      <c r="C118" s="11">
        <v>45658</v>
      </c>
      <c r="D118" s="11">
        <v>45688</v>
      </c>
      <c r="E118" s="91" t="s">
        <v>18</v>
      </c>
    </row>
    <row r="119" spans="1:5" ht="15.75" thickBot="1" x14ac:dyDescent="0.3">
      <c r="C119" s="2">
        <v>45689</v>
      </c>
      <c r="D119" s="2">
        <v>45716</v>
      </c>
      <c r="E119" s="91" t="s">
        <v>21</v>
      </c>
    </row>
    <row r="120" spans="1:5" ht="15.75" thickBot="1" x14ac:dyDescent="0.3">
      <c r="A120" s="252" t="s">
        <v>495</v>
      </c>
      <c r="B120" s="253"/>
      <c r="C120" s="2">
        <v>45717</v>
      </c>
      <c r="D120" s="2">
        <v>45747</v>
      </c>
      <c r="E120" s="91" t="s">
        <v>16</v>
      </c>
    </row>
    <row r="121" spans="1:5" ht="15.75" thickBot="1" x14ac:dyDescent="0.3">
      <c r="A121" s="252" t="s">
        <v>505</v>
      </c>
      <c r="B121" s="253"/>
      <c r="C121" s="2">
        <v>45748</v>
      </c>
      <c r="D121" s="2">
        <v>45777</v>
      </c>
      <c r="E121" s="91" t="s">
        <v>17</v>
      </c>
    </row>
    <row r="122" spans="1:5" ht="15.75" thickBot="1" x14ac:dyDescent="0.3">
      <c r="A122" s="13" t="s">
        <v>257</v>
      </c>
      <c r="B122" s="14" t="s">
        <v>258</v>
      </c>
      <c r="C122" s="2">
        <v>45778</v>
      </c>
      <c r="D122" s="2">
        <v>45808</v>
      </c>
      <c r="E122" s="91" t="s">
        <v>20</v>
      </c>
    </row>
    <row r="123" spans="1:5" ht="15.75" thickBot="1" x14ac:dyDescent="0.3">
      <c r="A123" s="254" t="s">
        <v>506</v>
      </c>
      <c r="B123" s="255"/>
      <c r="C123" s="2">
        <v>45809</v>
      </c>
      <c r="D123" s="2">
        <v>45838</v>
      </c>
      <c r="E123" s="91" t="s">
        <v>13</v>
      </c>
    </row>
    <row r="124" spans="1:5" ht="15.75" thickBot="1" x14ac:dyDescent="0.3">
      <c r="A124" s="15" t="s">
        <v>496</v>
      </c>
      <c r="B124" s="16" t="s">
        <v>497</v>
      </c>
      <c r="C124" s="2">
        <v>45839</v>
      </c>
      <c r="D124" s="2">
        <v>45869</v>
      </c>
      <c r="E124" s="91" t="s">
        <v>14</v>
      </c>
    </row>
    <row r="125" spans="1:5" ht="15.75" thickBot="1" x14ac:dyDescent="0.3">
      <c r="A125" s="15" t="s">
        <v>498</v>
      </c>
      <c r="B125" s="16" t="s">
        <v>499</v>
      </c>
      <c r="C125" s="2">
        <v>45870</v>
      </c>
      <c r="D125" s="2">
        <v>45900</v>
      </c>
      <c r="E125" s="91" t="s">
        <v>15</v>
      </c>
    </row>
    <row r="126" spans="1:5" ht="16.5" customHeight="1" thickBot="1" x14ac:dyDescent="0.3">
      <c r="A126" s="15" t="s">
        <v>507</v>
      </c>
      <c r="B126" s="16" t="s">
        <v>502</v>
      </c>
      <c r="C126" s="2">
        <v>45901</v>
      </c>
      <c r="D126" s="2">
        <v>45930</v>
      </c>
      <c r="E126" s="91" t="s">
        <v>10</v>
      </c>
    </row>
    <row r="127" spans="1:5" ht="18" customHeight="1" thickBot="1" x14ac:dyDescent="0.3">
      <c r="A127" s="15" t="s">
        <v>500</v>
      </c>
      <c r="B127" s="16" t="s">
        <v>501</v>
      </c>
      <c r="C127" s="2">
        <v>45931</v>
      </c>
      <c r="D127" s="2">
        <v>45961</v>
      </c>
      <c r="E127" s="91" t="s">
        <v>269</v>
      </c>
    </row>
    <row r="128" spans="1:5" ht="15.75" thickBot="1" x14ac:dyDescent="0.3">
      <c r="A128" s="15" t="s">
        <v>503</v>
      </c>
      <c r="B128" s="16" t="s">
        <v>504</v>
      </c>
      <c r="C128" s="2">
        <v>45962</v>
      </c>
      <c r="D128" s="2">
        <v>45991</v>
      </c>
      <c r="E128" s="91" t="s">
        <v>271</v>
      </c>
    </row>
    <row r="129" spans="1:5" ht="15.75" thickBot="1" x14ac:dyDescent="0.3">
      <c r="A129" s="254" t="s">
        <v>508</v>
      </c>
      <c r="B129" s="255"/>
      <c r="C129" s="2">
        <v>45992</v>
      </c>
      <c r="D129" s="2">
        <v>46022</v>
      </c>
      <c r="E129" s="91" t="s">
        <v>273</v>
      </c>
    </row>
    <row r="130" spans="1:5" ht="15.75" thickBot="1" x14ac:dyDescent="0.3">
      <c r="A130" s="15" t="s">
        <v>509</v>
      </c>
      <c r="B130" s="16" t="s">
        <v>510</v>
      </c>
    </row>
    <row r="131" spans="1:5" ht="15.75" thickBot="1" x14ac:dyDescent="0.3">
      <c r="A131" s="15" t="s">
        <v>511</v>
      </c>
      <c r="B131" s="16" t="s">
        <v>512</v>
      </c>
    </row>
    <row r="132" spans="1:5" ht="24.75" thickBot="1" x14ac:dyDescent="0.3">
      <c r="A132" s="15" t="s">
        <v>513</v>
      </c>
      <c r="B132" s="16" t="s">
        <v>514</v>
      </c>
    </row>
    <row r="133" spans="1:5" ht="24.75" thickBot="1" x14ac:dyDescent="0.3">
      <c r="A133" s="15" t="s">
        <v>515</v>
      </c>
      <c r="B133" s="16" t="s">
        <v>516</v>
      </c>
    </row>
    <row r="134" spans="1:5" ht="15.75" thickBot="1" x14ac:dyDescent="0.3">
      <c r="A134" s="71" t="s">
        <v>722</v>
      </c>
      <c r="B134" s="72" t="s">
        <v>517</v>
      </c>
    </row>
    <row r="135" spans="1:5" ht="36.75" thickBot="1" x14ac:dyDescent="0.3">
      <c r="A135" s="71" t="s">
        <v>723</v>
      </c>
      <c r="B135" s="72" t="s">
        <v>721</v>
      </c>
    </row>
    <row r="136" spans="1:5" ht="15.75" thickBot="1" x14ac:dyDescent="0.3">
      <c r="A136" s="15" t="s">
        <v>518</v>
      </c>
      <c r="B136" s="16" t="s">
        <v>519</v>
      </c>
    </row>
    <row r="137" spans="1:5" ht="15.75" thickBot="1" x14ac:dyDescent="0.3">
      <c r="A137" s="15" t="s">
        <v>520</v>
      </c>
      <c r="B137" s="16" t="s">
        <v>521</v>
      </c>
    </row>
    <row r="138" spans="1:5" ht="15.75" thickBot="1" x14ac:dyDescent="0.3">
      <c r="A138" s="15" t="s">
        <v>522</v>
      </c>
      <c r="B138" s="16" t="s">
        <v>523</v>
      </c>
    </row>
    <row r="139" spans="1:5" ht="15.75" thickBot="1" x14ac:dyDescent="0.3"/>
    <row r="140" spans="1:5" ht="15.75" thickBot="1" x14ac:dyDescent="0.3">
      <c r="A140" s="248" t="s">
        <v>530</v>
      </c>
      <c r="B140" s="249"/>
    </row>
    <row r="141" spans="1:5" ht="15.75" thickBot="1" x14ac:dyDescent="0.3">
      <c r="A141" s="248" t="s">
        <v>256</v>
      </c>
      <c r="B141" s="249"/>
    </row>
    <row r="142" spans="1:5" ht="15.75" thickBot="1" x14ac:dyDescent="0.3">
      <c r="A142" s="4" t="s">
        <v>257</v>
      </c>
      <c r="B142" s="5" t="s">
        <v>258</v>
      </c>
    </row>
    <row r="143" spans="1:5" ht="24.75" thickBot="1" x14ac:dyDescent="0.3">
      <c r="A143" s="20" t="s">
        <v>534</v>
      </c>
      <c r="B143" s="7" t="s">
        <v>532</v>
      </c>
    </row>
    <row r="144" spans="1:5" ht="24.75" thickBot="1" x14ac:dyDescent="0.3">
      <c r="A144" s="20" t="s">
        <v>535</v>
      </c>
      <c r="B144" s="7" t="s">
        <v>533</v>
      </c>
    </row>
    <row r="145" spans="1:2" ht="15.75" thickBot="1" x14ac:dyDescent="0.3">
      <c r="A145" s="6" t="s">
        <v>259</v>
      </c>
      <c r="B145" s="7" t="s">
        <v>18</v>
      </c>
    </row>
    <row r="146" spans="1:2" ht="15.75" thickBot="1" x14ac:dyDescent="0.3">
      <c r="A146" s="6" t="s">
        <v>260</v>
      </c>
      <c r="B146" s="7" t="s">
        <v>21</v>
      </c>
    </row>
    <row r="147" spans="1:2" ht="15.75" thickBot="1" x14ac:dyDescent="0.3">
      <c r="A147" s="6" t="s">
        <v>261</v>
      </c>
      <c r="B147" s="7" t="s">
        <v>16</v>
      </c>
    </row>
    <row r="148" spans="1:2" ht="15.75" thickBot="1" x14ac:dyDescent="0.3">
      <c r="A148" s="6" t="s">
        <v>262</v>
      </c>
      <c r="B148" s="7" t="s">
        <v>17</v>
      </c>
    </row>
    <row r="149" spans="1:2" ht="15.75" thickBot="1" x14ac:dyDescent="0.3">
      <c r="A149" s="6" t="s">
        <v>263</v>
      </c>
      <c r="B149" s="7" t="s">
        <v>20</v>
      </c>
    </row>
    <row r="150" spans="1:2" ht="15.75" thickBot="1" x14ac:dyDescent="0.3">
      <c r="A150" s="6" t="s">
        <v>264</v>
      </c>
      <c r="B150" s="7" t="s">
        <v>13</v>
      </c>
    </row>
    <row r="151" spans="1:2" ht="15.75" thickBot="1" x14ac:dyDescent="0.3">
      <c r="A151" s="6" t="s">
        <v>265</v>
      </c>
      <c r="B151" s="7" t="s">
        <v>14</v>
      </c>
    </row>
    <row r="152" spans="1:2" ht="15.75" thickBot="1" x14ac:dyDescent="0.3">
      <c r="A152" s="6" t="s">
        <v>266</v>
      </c>
      <c r="B152" s="7" t="s">
        <v>15</v>
      </c>
    </row>
    <row r="153" spans="1:2" ht="15.75" thickBot="1" x14ac:dyDescent="0.3">
      <c r="A153" s="6" t="s">
        <v>267</v>
      </c>
      <c r="B153" s="7" t="s">
        <v>10</v>
      </c>
    </row>
    <row r="154" spans="1:2" ht="15.75" thickBot="1" x14ac:dyDescent="0.3">
      <c r="A154" s="6" t="s">
        <v>268</v>
      </c>
      <c r="B154" s="7" t="s">
        <v>269</v>
      </c>
    </row>
    <row r="155" spans="1:2" ht="15.75" thickBot="1" x14ac:dyDescent="0.3">
      <c r="A155" s="6" t="s">
        <v>270</v>
      </c>
      <c r="B155" s="7" t="s">
        <v>271</v>
      </c>
    </row>
    <row r="156" spans="1:2" ht="15.75" thickBot="1" x14ac:dyDescent="0.3">
      <c r="A156" s="6" t="s">
        <v>272</v>
      </c>
      <c r="B156" s="7" t="s">
        <v>273</v>
      </c>
    </row>
    <row r="157" spans="1:2" ht="15.75" thickBot="1" x14ac:dyDescent="0.3"/>
    <row r="158" spans="1:2" ht="15.75" thickBot="1" x14ac:dyDescent="0.3">
      <c r="A158" s="248" t="s">
        <v>529</v>
      </c>
      <c r="B158" s="249"/>
    </row>
    <row r="159" spans="1:2" ht="15.75" thickBot="1" x14ac:dyDescent="0.3">
      <c r="A159" s="248" t="s">
        <v>274</v>
      </c>
      <c r="B159" s="249"/>
    </row>
    <row r="160" spans="1:2" ht="15.75" thickBot="1" x14ac:dyDescent="0.3">
      <c r="A160" s="4" t="s">
        <v>257</v>
      </c>
      <c r="B160" s="5" t="s">
        <v>258</v>
      </c>
    </row>
    <row r="161" spans="1:2" ht="15.75" thickBot="1" x14ac:dyDescent="0.3">
      <c r="A161" s="6" t="s">
        <v>275</v>
      </c>
      <c r="B161" s="8">
        <v>1</v>
      </c>
    </row>
    <row r="162" spans="1:2" ht="15.75" thickBot="1" x14ac:dyDescent="0.3">
      <c r="A162" s="6" t="s">
        <v>276</v>
      </c>
      <c r="B162" s="8">
        <v>2</v>
      </c>
    </row>
    <row r="163" spans="1:2" ht="15.75" thickBot="1" x14ac:dyDescent="0.3">
      <c r="A163" s="6" t="s">
        <v>277</v>
      </c>
      <c r="B163" s="8">
        <v>3</v>
      </c>
    </row>
    <row r="164" spans="1:2" ht="15.75" thickBot="1" x14ac:dyDescent="0.3">
      <c r="A164" s="6" t="s">
        <v>278</v>
      </c>
      <c r="B164" s="8">
        <v>4</v>
      </c>
    </row>
    <row r="165" spans="1:2" ht="15.75" thickBot="1" x14ac:dyDescent="0.3">
      <c r="A165" s="77" t="s">
        <v>742</v>
      </c>
      <c r="B165" s="78" t="s">
        <v>743</v>
      </c>
    </row>
    <row r="166" spans="1:2" ht="26.25" thickBot="1" x14ac:dyDescent="0.3">
      <c r="A166" s="77" t="s">
        <v>744</v>
      </c>
      <c r="B166" s="78" t="s">
        <v>745</v>
      </c>
    </row>
    <row r="167" spans="1:2" ht="15.75" thickBot="1" x14ac:dyDescent="0.3">
      <c r="A167" s="79" t="s">
        <v>746</v>
      </c>
      <c r="B167" s="78" t="s">
        <v>747</v>
      </c>
    </row>
    <row r="168" spans="1:2" ht="26.25" thickBot="1" x14ac:dyDescent="0.3">
      <c r="A168" s="79" t="s">
        <v>748</v>
      </c>
      <c r="B168" s="78" t="s">
        <v>749</v>
      </c>
    </row>
    <row r="169" spans="1:2" ht="15.75" thickBot="1" x14ac:dyDescent="0.3">
      <c r="A169" s="68" t="s">
        <v>279</v>
      </c>
      <c r="B169" s="69">
        <v>7</v>
      </c>
    </row>
    <row r="170" spans="1:2" ht="15.75" thickBot="1" x14ac:dyDescent="0.3">
      <c r="A170" s="68" t="s">
        <v>750</v>
      </c>
      <c r="B170" s="69">
        <v>8</v>
      </c>
    </row>
    <row r="171" spans="1:2" ht="15.75" thickBot="1" x14ac:dyDescent="0.3">
      <c r="A171" s="68" t="s">
        <v>715</v>
      </c>
      <c r="B171" s="69">
        <v>9</v>
      </c>
    </row>
    <row r="172" spans="1:2" ht="15.75" thickBot="1" x14ac:dyDescent="0.3">
      <c r="A172" s="68" t="s">
        <v>716</v>
      </c>
      <c r="B172" s="69">
        <v>10</v>
      </c>
    </row>
    <row r="173" spans="1:2" ht="15.75" thickBot="1" x14ac:dyDescent="0.3">
      <c r="A173" s="68" t="s">
        <v>717</v>
      </c>
      <c r="B173" s="69">
        <v>11</v>
      </c>
    </row>
    <row r="174" spans="1:2" ht="15.75" thickBot="1" x14ac:dyDescent="0.3">
      <c r="A174" s="68" t="s">
        <v>718</v>
      </c>
      <c r="B174" s="69">
        <v>12</v>
      </c>
    </row>
    <row r="175" spans="1:2" ht="36.75" thickBot="1" x14ac:dyDescent="0.3">
      <c r="A175" s="68" t="s">
        <v>850</v>
      </c>
      <c r="B175" s="69">
        <v>13</v>
      </c>
    </row>
    <row r="176" spans="1:2" ht="15.75" thickBot="1" x14ac:dyDescent="0.3"/>
    <row r="177" spans="1:2" ht="15.75" thickBot="1" x14ac:dyDescent="0.3">
      <c r="A177" s="248" t="s">
        <v>529</v>
      </c>
      <c r="B177" s="249"/>
    </row>
    <row r="178" spans="1:2" ht="15.75" thickBot="1" x14ac:dyDescent="0.3">
      <c r="A178" s="248" t="s">
        <v>282</v>
      </c>
      <c r="B178" s="249"/>
    </row>
    <row r="179" spans="1:2" ht="15.75" thickBot="1" x14ac:dyDescent="0.3">
      <c r="A179" s="4" t="s">
        <v>257</v>
      </c>
      <c r="B179" s="5" t="s">
        <v>258</v>
      </c>
    </row>
    <row r="180" spans="1:2" ht="15.75" thickBot="1" x14ac:dyDescent="0.3">
      <c r="A180" s="6" t="s">
        <v>36</v>
      </c>
      <c r="B180" s="17" t="s">
        <v>23</v>
      </c>
    </row>
    <row r="181" spans="1:2" ht="15.75" thickBot="1" x14ac:dyDescent="0.3">
      <c r="A181" s="6" t="s">
        <v>37</v>
      </c>
      <c r="B181" s="17" t="s">
        <v>24</v>
      </c>
    </row>
    <row r="182" spans="1:2" ht="15.75" thickBot="1" x14ac:dyDescent="0.3">
      <c r="A182" s="9" t="s">
        <v>38</v>
      </c>
      <c r="B182" s="18" t="s">
        <v>25</v>
      </c>
    </row>
    <row r="183" spans="1:2" ht="15.75" thickBot="1" x14ac:dyDescent="0.3">
      <c r="A183" s="9" t="s">
        <v>26</v>
      </c>
      <c r="B183" s="18" t="s">
        <v>12</v>
      </c>
    </row>
    <row r="184" spans="1:2" ht="15.75" thickBot="1" x14ac:dyDescent="0.3">
      <c r="A184" s="9" t="s">
        <v>608</v>
      </c>
      <c r="B184" s="18" t="s">
        <v>607</v>
      </c>
    </row>
    <row r="185" spans="1:2" ht="15.75" thickBot="1" x14ac:dyDescent="0.3">
      <c r="A185" s="9" t="s">
        <v>832</v>
      </c>
      <c r="B185" s="18" t="s">
        <v>831</v>
      </c>
    </row>
    <row r="186" spans="1:2" ht="15.75" thickBot="1" x14ac:dyDescent="0.3"/>
    <row r="187" spans="1:2" ht="15.75" thickBot="1" x14ac:dyDescent="0.3">
      <c r="A187" s="36" t="s">
        <v>666</v>
      </c>
      <c r="B187" s="37"/>
    </row>
    <row r="188" spans="1:2" ht="15.75" thickBot="1" x14ac:dyDescent="0.3">
      <c r="A188" s="4" t="s">
        <v>661</v>
      </c>
      <c r="B188" s="5" t="s">
        <v>258</v>
      </c>
    </row>
    <row r="189" spans="1:2" ht="27.75" thickBot="1" x14ac:dyDescent="0.3">
      <c r="A189" s="59" t="s">
        <v>667</v>
      </c>
      <c r="B189" s="60" t="s">
        <v>662</v>
      </c>
    </row>
    <row r="190" spans="1:2" ht="41.25" thickBot="1" x14ac:dyDescent="0.3">
      <c r="A190" s="59" t="s">
        <v>668</v>
      </c>
      <c r="B190" s="60" t="s">
        <v>19</v>
      </c>
    </row>
    <row r="191" spans="1:2" ht="27.75" thickBot="1" x14ac:dyDescent="0.3">
      <c r="A191" s="59" t="s">
        <v>669</v>
      </c>
      <c r="B191" s="60" t="s">
        <v>663</v>
      </c>
    </row>
    <row r="192" spans="1:2" ht="27.75" thickBot="1" x14ac:dyDescent="0.3">
      <c r="A192" s="59" t="s">
        <v>670</v>
      </c>
      <c r="B192" s="60" t="s">
        <v>664</v>
      </c>
    </row>
    <row r="193" spans="1:2" ht="27.75" thickBot="1" x14ac:dyDescent="0.3">
      <c r="A193" s="59" t="s">
        <v>671</v>
      </c>
      <c r="B193" s="60" t="s">
        <v>672</v>
      </c>
    </row>
    <row r="194" spans="1:2" ht="41.25" thickBot="1" x14ac:dyDescent="0.3">
      <c r="A194" s="59" t="s">
        <v>673</v>
      </c>
      <c r="B194" s="60" t="s">
        <v>674</v>
      </c>
    </row>
    <row r="196" spans="1:2" x14ac:dyDescent="0.25">
      <c r="B196" s="58" t="s">
        <v>497</v>
      </c>
    </row>
    <row r="197" spans="1:2" x14ac:dyDescent="0.25">
      <c r="B197" s="58" t="s">
        <v>499</v>
      </c>
    </row>
    <row r="198" spans="1:2" x14ac:dyDescent="0.25">
      <c r="B198" s="58" t="s">
        <v>502</v>
      </c>
    </row>
    <row r="199" spans="1:2" x14ac:dyDescent="0.25">
      <c r="B199" s="58" t="s">
        <v>501</v>
      </c>
    </row>
    <row r="200" spans="1:2" x14ac:dyDescent="0.25">
      <c r="B200" s="58" t="s">
        <v>504</v>
      </c>
    </row>
    <row r="201" spans="1:2" x14ac:dyDescent="0.25">
      <c r="B201" s="58" t="s">
        <v>510</v>
      </c>
    </row>
    <row r="202" spans="1:2" x14ac:dyDescent="0.25">
      <c r="B202" s="58" t="s">
        <v>512</v>
      </c>
    </row>
    <row r="203" spans="1:2" x14ac:dyDescent="0.25">
      <c r="B203" s="58" t="s">
        <v>514</v>
      </c>
    </row>
    <row r="204" spans="1:2" x14ac:dyDescent="0.25">
      <c r="B204" s="58" t="s">
        <v>516</v>
      </c>
    </row>
    <row r="205" spans="1:2" x14ac:dyDescent="0.25">
      <c r="B205" s="58" t="s">
        <v>517</v>
      </c>
    </row>
    <row r="206" spans="1:2" ht="15.75" thickBot="1" x14ac:dyDescent="0.3">
      <c r="B206" s="70" t="s">
        <v>721</v>
      </c>
    </row>
    <row r="207" spans="1:2" x14ac:dyDescent="0.25">
      <c r="B207" s="58" t="s">
        <v>519</v>
      </c>
    </row>
    <row r="208" spans="1:2" x14ac:dyDescent="0.25">
      <c r="B208" s="58" t="s">
        <v>521</v>
      </c>
    </row>
    <row r="209" spans="1:2" x14ac:dyDescent="0.25">
      <c r="B209" s="58" t="s">
        <v>523</v>
      </c>
    </row>
    <row r="212" spans="1:2" ht="15.75" thickBot="1" x14ac:dyDescent="0.3"/>
    <row r="213" spans="1:2" ht="15.75" thickBot="1" x14ac:dyDescent="0.3">
      <c r="A213" s="244" t="s">
        <v>731</v>
      </c>
      <c r="B213" s="245"/>
    </row>
    <row r="214" spans="1:2" ht="15.75" thickBot="1" x14ac:dyDescent="0.3">
      <c r="A214" s="246" t="s">
        <v>732</v>
      </c>
      <c r="B214" s="247"/>
    </row>
    <row r="215" spans="1:2" ht="15.75" thickBot="1" x14ac:dyDescent="0.3">
      <c r="A215" s="73" t="s">
        <v>733</v>
      </c>
      <c r="B215" s="74" t="s">
        <v>258</v>
      </c>
    </row>
    <row r="216" spans="1:2" ht="15.75" thickBot="1" x14ac:dyDescent="0.3">
      <c r="A216" s="75" t="s">
        <v>734</v>
      </c>
      <c r="B216" s="76" t="s">
        <v>735</v>
      </c>
    </row>
    <row r="217" spans="1:2" ht="15.75" thickBot="1" x14ac:dyDescent="0.3">
      <c r="A217" s="75" t="s">
        <v>736</v>
      </c>
      <c r="B217" s="76" t="s">
        <v>737</v>
      </c>
    </row>
    <row r="218" spans="1:2" ht="15.75" thickBot="1" x14ac:dyDescent="0.3">
      <c r="A218" s="75" t="s">
        <v>738</v>
      </c>
      <c r="B218" s="76" t="s">
        <v>739</v>
      </c>
    </row>
    <row r="219" spans="1:2" ht="15.75" thickBot="1" x14ac:dyDescent="0.3">
      <c r="A219" s="75" t="s">
        <v>740</v>
      </c>
      <c r="B219" s="76" t="s">
        <v>741</v>
      </c>
    </row>
  </sheetData>
  <sheetProtection algorithmName="SHA-512" hashValue="vPt9lSS5otm7vspZM+cHBrG3siZxjEcJwEwfqurtGf7YjR9UI9DuMSwLWXOlqMM5mAFKFHO3rvf5J5JaDiHyFw==" saltValue="3KRRzDGTF7Nt3Gk17LMdrA==" spinCount="100000" sheet="1" objects="1" scenarios="1"/>
  <mergeCells count="15">
    <mergeCell ref="A213:B213"/>
    <mergeCell ref="A214:B214"/>
    <mergeCell ref="A114:B114"/>
    <mergeCell ref="A115:B115"/>
    <mergeCell ref="A80:B80"/>
    <mergeCell ref="A141:B141"/>
    <mergeCell ref="A158:B158"/>
    <mergeCell ref="A159:B159"/>
    <mergeCell ref="A178:B178"/>
    <mergeCell ref="A177:B177"/>
    <mergeCell ref="A120:B120"/>
    <mergeCell ref="A121:B121"/>
    <mergeCell ref="A123:B123"/>
    <mergeCell ref="A129:B129"/>
    <mergeCell ref="A140:B14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B145:B15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A067AE-6F22-4B5D-AA59-2BA7CD5643C3}"/>
</file>

<file path=customXml/itemProps2.xml><?xml version="1.0" encoding="utf-8"?>
<ds:datastoreItem xmlns:ds="http://schemas.openxmlformats.org/officeDocument/2006/customXml" ds:itemID="{2BBCB3F3-3C7A-4676-B8C1-2A0ED290D8F8}"/>
</file>

<file path=customXml/itemProps3.xml><?xml version="1.0" encoding="utf-8"?>
<ds:datastoreItem xmlns:ds="http://schemas.openxmlformats.org/officeDocument/2006/customXml" ds:itemID="{FC58A9A5-86AE-42D2-A4DB-954F669E99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27</vt:i4>
      </vt:variant>
    </vt:vector>
  </HeadingPairs>
  <TitlesOfParts>
    <vt:vector size="32" baseType="lpstr">
      <vt:lpstr>L</vt:lpstr>
      <vt:lpstr>Tablas_Resumenes</vt:lpstr>
      <vt:lpstr>Datos</vt:lpstr>
      <vt:lpstr>BD_Servicios</vt:lpstr>
      <vt:lpstr>L_Conversion</vt:lpstr>
      <vt:lpstr>Datos!Área_de_impresión</vt:lpstr>
      <vt:lpstr>L_Conversion!Área_de_impresión</vt:lpstr>
      <vt:lpstr>CAT_LIC_H</vt:lpstr>
      <vt:lpstr>Codigo</vt:lpstr>
      <vt:lpstr>Dias_licencia_tipo_8_H</vt:lpstr>
      <vt:lpstr>Dias_Licencia_Tipo_8_M</vt:lpstr>
      <vt:lpstr>Mes_Inicio_Termino</vt:lpstr>
      <vt:lpstr>Tabla_01_Mes</vt:lpstr>
      <vt:lpstr>Tabla_04_Estado_Resolucion</vt:lpstr>
      <vt:lpstr>Tabla_04_Sist.Rem</vt:lpstr>
      <vt:lpstr>Tabla_06_10_40_60_70_EUS</vt:lpstr>
      <vt:lpstr>Tabla_06_11_12_15076_19664</vt:lpstr>
      <vt:lpstr>Tabla_06_13</vt:lpstr>
      <vt:lpstr>Tabla_06_14</vt:lpstr>
      <vt:lpstr>Tabla_06_15</vt:lpstr>
      <vt:lpstr>Tabla_06_20_Fiscalizadores</vt:lpstr>
      <vt:lpstr>Tabla_06_30_Poder_Judicial</vt:lpstr>
      <vt:lpstr>Tabla_06_50_Ministerio_Publico</vt:lpstr>
      <vt:lpstr>Tabla_06_80_Codigo_del_Trabajo</vt:lpstr>
      <vt:lpstr>Tabla_06_90_Personal_Fuera_de_Dotacion</vt:lpstr>
      <vt:lpstr>Tabla_06_DFL29_61_Experimentales</vt:lpstr>
      <vt:lpstr>Tabla_07_Personal_de_la_Dotacion</vt:lpstr>
      <vt:lpstr>Tabla_07_Personal_Fuera_de_Dotacion</vt:lpstr>
      <vt:lpstr>Tabla_18_Tipos_licencias</vt:lpstr>
      <vt:lpstr>Tabla_27_Matriz_Base</vt:lpstr>
      <vt:lpstr>Tabla_33_estado_recuperacion</vt:lpstr>
      <vt:lpstr>Tabla_Personal</vt:lpstr>
    </vt:vector>
  </TitlesOfParts>
  <Company>BY 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Alejandro Vera Veloso</cp:lastModifiedBy>
  <cp:lastPrinted>2025-04-23T17:14:07Z</cp:lastPrinted>
  <dcterms:created xsi:type="dcterms:W3CDTF">2011-11-11T16:50:15Z</dcterms:created>
  <dcterms:modified xsi:type="dcterms:W3CDTF">2025-04-25T19:46:59Z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</Properties>
</file>